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1340" windowHeight="6795" tabRatio="940" activeTab="0"/>
  </bookViews>
  <sheets>
    <sheet name="Capa" sheetId="1" r:id="rId1"/>
    <sheet name="C-Capa" sheetId="2" r:id="rId2"/>
    <sheet name="Indicadores" sheetId="3" r:id="rId3"/>
    <sheet name="Total-Vencimento" sheetId="4" state="hidden" r:id="rId4"/>
    <sheet name="Liberações-14" sheetId="5" r:id="rId5"/>
    <sheet name="Estoques" sheetId="6" r:id="rId6"/>
    <sheet name="Cotação Mensal" sheetId="7" r:id="rId7"/>
    <sheet name="Exp.Agronegócio" sheetId="8" r:id="rId8"/>
    <sheet name="Total Exp.sacas" sheetId="9" r:id="rId9"/>
    <sheet name="Exp.Verde" sheetId="10" r:id="rId10"/>
    <sheet name="Exp.Solúvel" sheetId="11" r:id="rId11"/>
    <sheet name="Exp.Torrado" sheetId="12" r:id="rId12"/>
    <sheet name="Exp.Outs Ext." sheetId="13" r:id="rId13"/>
    <sheet name="Exp.Destino-Ano" sheetId="14" r:id="rId14"/>
    <sheet name="Total Imp.sacas" sheetId="15" r:id="rId15"/>
    <sheet name="Saf.2014" sheetId="16" r:id="rId16"/>
    <sheet name="Saf.2013" sheetId="17" r:id="rId17"/>
    <sheet name="Saf.2012" sheetId="18" r:id="rId18"/>
    <sheet name="Café Ranking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alegria">'[7]Spred-09'!#REF!</definedName>
    <definedName name="aplicações">'[6]Spred-09'!#REF!</definedName>
    <definedName name="_xlnm.Print_Area" localSheetId="0">'Capa'!$A$1:$J$63</definedName>
    <definedName name="_xlnm.Print_Area" localSheetId="1">'C-Capa'!$A$1:$B$64</definedName>
    <definedName name="_xlnm.Print_Area" localSheetId="5">'Estoques'!$A$1:$H$24</definedName>
    <definedName name="_xlnm.Print_Area" localSheetId="7">'Exp.Agronegócio'!$A$1:$G$37</definedName>
    <definedName name="_xlnm.Print_Area" localSheetId="2">'Indicadores'!$A$1:$S$43</definedName>
    <definedName name="_xlnm.Print_Area" localSheetId="4">'Liberações-14'!$A$1:$L$40</definedName>
    <definedName name="_xlnm.Print_Area" localSheetId="3">'Total-Vencimento'!$A$1:$M$47</definedName>
    <definedName name="banco">'[11]Spred-09'!#REF!,'[11]Spred-09'!$E$7:$L$7</definedName>
    <definedName name="banvco" localSheetId="4">'[21]Spred-09'!#REF!,'[21]Spred-09'!$E$7:$L$7</definedName>
    <definedName name="banvco">'[9]Spred-09'!#REF!,'[9]Spred-09'!$E$7:$L$7</definedName>
    <definedName name="ca" localSheetId="4">'[26]Spred-09'!#REF!</definedName>
    <definedName name="ca">'[5]Spred-09'!#REF!</definedName>
    <definedName name="caf" localSheetId="4">'[20]Spred-09'!#REF!</definedName>
    <definedName name="caf">'[5]Spred-09'!#REF!</definedName>
    <definedName name="CAFCENT">'[15]Spred-09'!#REF!</definedName>
    <definedName name="cafe" localSheetId="4">'[23]Spred-09'!#REF!</definedName>
    <definedName name="cafe">'[2]Spred-09'!#REF!</definedName>
    <definedName name="CAFE´" localSheetId="4">'[22]Spred-09'!#REF!,'[22]Spred-09'!$E$7:$L$7</definedName>
    <definedName name="CAFE´">'[12]Spred-09'!#REF!,'[12]Spred-09'!$E$7:$L$7</definedName>
    <definedName name="cafes">'[6]Spred-09'!#REF!</definedName>
    <definedName name="cafés">'[5]Spred-09'!#REF!,'[5]Spred-09'!$E$7:$L$7</definedName>
    <definedName name="cartao">'[7]Spred-09'!#REF!</definedName>
    <definedName name="cof">'[2]Spred-09'!#REF!,'[2]Spred-09'!$D$7:$K$7</definedName>
    <definedName name="contrato">'[7]Spred-09'!#REF!,'[7]Spred-09'!$E$7:$L$7</definedName>
    <definedName name="contratos">'[2]Spred-09'!#REF!</definedName>
    <definedName name="deposito">'[2]Spred-09'!#REF!,'[2]Spred-09'!$D$7:$K$7</definedName>
    <definedName name="EMPRESG0">'[16]Spred-09'!#REF!</definedName>
    <definedName name="fazenda">'[4]Spred-09'!#REF!</definedName>
    <definedName name="FECHADO" localSheetId="4">'[25]Spred-09'!#REF!</definedName>
    <definedName name="FECHADO">'[15]Spred-09'!#REF!</definedName>
    <definedName name="fernando">'[10]Spred-09'!#REF!,'[10]Spred-09'!$E$7:$L$7</definedName>
    <definedName name="fi">'[2]Spred-09'!#REF!,'[2]Spred-09'!$D$7:$K$7</definedName>
    <definedName name="filmes">'[8]Spred-09'!#REF!</definedName>
    <definedName name="financiar">'[2]Spred-09'!#REF!</definedName>
    <definedName name="finorme">'[2]Spred-09'!#REF!</definedName>
    <definedName name="funco">'[14]Spred-09'!#REF!</definedName>
    <definedName name="funcodefesa">'[2]Spred-09'!#REF!,'[2]Spred-09'!$D$7:$K$23</definedName>
    <definedName name="FUNDO" localSheetId="4">'[23]Spred-09'!#REF!</definedName>
    <definedName name="FUNDO">'[13]Spred-09'!#REF!</definedName>
    <definedName name="inorme">'[2]Spred-09'!#REF!</definedName>
    <definedName name="jogo" localSheetId="4">'[28]Spred-09'!#REF!</definedName>
    <definedName name="jogo">'[6]Spred-09'!#REF!</definedName>
    <definedName name="JOGOS">'[14]Spred-09'!#REF!</definedName>
    <definedName name="jose">'[5]Spred-09'!#REF!</definedName>
    <definedName name="li" localSheetId="4">'[26]Spred-09'!#REF!,'[26]Spred-09'!$E$7:$L$7</definedName>
    <definedName name="li">'[5]Spred-09'!#REF!,'[5]Spred-09'!$E$7:$L$7</definedName>
    <definedName name="liber" localSheetId="4">'[19]Spred-09'!#REF!</definedName>
    <definedName name="liber">'[2]Spred-09'!#REF!</definedName>
    <definedName name="lier">'[8]Spred-09'!#REF!,'[8]Spred-09'!$E$7:$L$7</definedName>
    <definedName name="limpa" localSheetId="4">'[24]Spred-09'!#REF!,'[24]Spred-09'!$E$7:$L$7</definedName>
    <definedName name="limpa">'[17]Spred-09'!#REF!,'[17]Spred-09'!$E$7:$L$7</definedName>
    <definedName name="lits">'[2]Spred-09'!#REF!,'[2]Spred-09'!$D$7:$K$7</definedName>
    <definedName name="memorando">'[5]Spred-09'!#REF!</definedName>
    <definedName name="ministerio">'[7]Spred-09'!#REF!,'[7]Spred-09'!$E$7:$L$7</definedName>
    <definedName name="naofodr">'[2]Spred-09'!#REF!</definedName>
    <definedName name="offe">'[6]Spred-09'!#REF!</definedName>
    <definedName name="orçamento">'[8]Spred-09'!#REF!</definedName>
    <definedName name="p" localSheetId="4">'[28]Spred-09'!#REF!</definedName>
    <definedName name="p">'[6]Spred-09'!#REF!</definedName>
    <definedName name="pa">'[6]Spred-09'!#REF!</definedName>
    <definedName name="padrao">'[15]Spred-09'!#REF!</definedName>
    <definedName name="pal">'[2]Spred-09'!#REF!,'[2]Spred-09'!$D$7:$K$7</definedName>
    <definedName name="paul" localSheetId="4">'[19]Spred-09'!#REF!,'[19]Spred-09'!$D$7:$K$7</definedName>
    <definedName name="paul">'[2]Spred-09'!#REF!,'[2]Spred-09'!$D$7:$K$7</definedName>
    <definedName name="paulo" localSheetId="4">'[26]Spred-09'!#REF!</definedName>
    <definedName name="paulo">'[3]Spred-09'!#REF!</definedName>
    <definedName name="pcafe">'[2]Spred-09'!#REF!,'[2]Spred-09'!$D$7:$K$23</definedName>
    <definedName name="Planilha_1ÁreaTotal" localSheetId="4">'[19]Spred-09'!#REF!,'[19]Spred-09'!$D$7:$K$23</definedName>
    <definedName name="Planilha_1ÁreaTotal">'[2]Spred-09'!#REF!,'[2]Spred-09'!$D$7:$K$23</definedName>
    <definedName name="Planilha_1CabGráfico" localSheetId="4">'[19]Spred-09'!#REF!</definedName>
    <definedName name="Planilha_1CabGráfico">'[2]Spred-09'!#REF!</definedName>
    <definedName name="Planilha_1TítCols" localSheetId="4">'[19]Spred-09'!#REF!,'[19]Spred-09'!$D$7:$K$7</definedName>
    <definedName name="Planilha_1TítCols">'[2]Spred-09'!#REF!,'[2]Spred-09'!$D$7:$K$7</definedName>
    <definedName name="Planilha_1TítLins" localSheetId="4">'[19]Spred-09'!#REF!</definedName>
    <definedName name="Planilha_1TítLins">'[2]Spred-09'!#REF!</definedName>
    <definedName name="planilhas">'[2]Spred-09'!#REF!,'[2]Spred-09'!$D$7:$K$7</definedName>
    <definedName name="serviço">'[2]Spred-09'!#REF!,'[2]Spred-09'!$D$7:$K$23</definedName>
    <definedName name="sim" localSheetId="4">'[27]Spred-09'!#REF!,'[27]Spred-09'!$E$7:$L$7</definedName>
    <definedName name="sim">'[4]Spred-09'!#REF!,'[4]Spred-09'!$E$7:$L$7</definedName>
    <definedName name="time" localSheetId="4">'[21]Spred-09'!#REF!</definedName>
    <definedName name="time">'[9]Spred-09'!#REF!</definedName>
    <definedName name="_xlnm.Print_Titles" localSheetId="7">'Exp.Agronegócio'!$1:$11</definedName>
    <definedName name="vaf">'[6]Spred-09'!#REF!,'[6]Spred-09'!$E$7:$L$7</definedName>
    <definedName name="valores" localSheetId="4">'[27]Spred-09'!#REF!</definedName>
    <definedName name="valores">'[4]Spred-09'!#REF!</definedName>
    <definedName name="voce">'[5]Spred-09'!#REF!</definedName>
  </definedNames>
  <calcPr fullCalcOnLoad="1"/>
</workbook>
</file>

<file path=xl/sharedStrings.xml><?xml version="1.0" encoding="utf-8"?>
<sst xmlns="http://schemas.openxmlformats.org/spreadsheetml/2006/main" count="895" uniqueCount="402">
  <si>
    <t>MAIO</t>
  </si>
  <si>
    <t>VALOR</t>
  </si>
  <si>
    <t>TOTAL</t>
  </si>
  <si>
    <t>MÊS</t>
  </si>
  <si>
    <t>Acum/6 meses</t>
  </si>
  <si>
    <t>Acum/12 meses</t>
  </si>
  <si>
    <t>Volume</t>
  </si>
  <si>
    <t>Receita</t>
  </si>
  <si>
    <t>P.Médio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</si>
  <si>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</si>
  <si>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</si>
  <si>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</si>
  <si>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</si>
  <si>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</si>
  <si>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</si>
  <si>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</si>
  <si>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</si>
  <si>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</si>
  <si>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</si>
  <si>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</si>
  <si>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</si>
  <si>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</si>
  <si>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EXPORTAÇÕES BRASILEIRAS DE CAFÉ SOLÚVEL</t>
  </si>
  <si>
    <t>Arábica</t>
  </si>
  <si>
    <t>JANEIRO</t>
  </si>
  <si>
    <t xml:space="preserve">Arábica </t>
  </si>
  <si>
    <t>Robusta</t>
  </si>
  <si>
    <t>FEVEREIRO</t>
  </si>
  <si>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</si>
  <si>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</si>
  <si>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</si>
  <si>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</si>
  <si>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</si>
  <si>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</si>
  <si>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</si>
  <si>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</si>
  <si>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MÊS </t>
  </si>
  <si>
    <t>Tipo 6 BC-Duro</t>
  </si>
  <si>
    <t xml:space="preserve">MARÇO </t>
  </si>
  <si>
    <t>Média Anual</t>
  </si>
  <si>
    <t>R$/sc 60 kg</t>
  </si>
  <si>
    <t xml:space="preserve">* Arábica </t>
  </si>
  <si>
    <t>CAFÉ - BENEFICIADO</t>
  </si>
  <si>
    <t>Minas Gerais</t>
  </si>
  <si>
    <t>Espírito Santo</t>
  </si>
  <si>
    <t>São Paulo</t>
  </si>
  <si>
    <t>Bahia</t>
  </si>
  <si>
    <t>Rondônia</t>
  </si>
  <si>
    <t>Outros</t>
  </si>
  <si>
    <t>BRASIL</t>
  </si>
  <si>
    <t>(Mil covas)</t>
  </si>
  <si>
    <t>PARQUE  CAFEEIRO</t>
  </si>
  <si>
    <t>PRODUÇÃO</t>
  </si>
  <si>
    <t>EM  PRODUÇÃO</t>
  </si>
  <si>
    <t>ÁREA</t>
  </si>
  <si>
    <t>CAFEEIROS</t>
  </si>
  <si>
    <t>(Sacas /ha)</t>
  </si>
  <si>
    <t>(ha)</t>
  </si>
  <si>
    <t>VARIAÇÃO RELATIVA</t>
  </si>
  <si>
    <t>QUANT.</t>
  </si>
  <si>
    <t>P.MÉDIO</t>
  </si>
  <si>
    <t>US$ Mil</t>
  </si>
  <si>
    <t>t</t>
  </si>
  <si>
    <t>US$/t</t>
  </si>
  <si>
    <t>SOLÚVEL</t>
  </si>
  <si>
    <t>(PRINCIPAIS PAÍSES IMPORTADORES)</t>
  </si>
  <si>
    <t>PAÍSES</t>
  </si>
  <si>
    <t>QUANT</t>
  </si>
  <si>
    <t>US$ MIL</t>
  </si>
  <si>
    <t xml:space="preserve">TOTAL </t>
  </si>
  <si>
    <t>EXPORTAÇÕES BRASILEIRAS DE CAFÉ SOLÚVEL, MESMO DESCAFEINADO</t>
  </si>
  <si>
    <t>NCM: 2101.11.10</t>
  </si>
  <si>
    <t>Paraná</t>
  </si>
  <si>
    <t>Mato Grosso</t>
  </si>
  <si>
    <t>Pará</t>
  </si>
  <si>
    <t>Rio de Janeiro</t>
  </si>
  <si>
    <t>INFORME ESTATÍSTICO DO CAFÉ</t>
  </si>
  <si>
    <t>MINISTÉRIO DA AGRICULTURA, PECUÁRIA E ABASTECIMENTO - MAPA</t>
  </si>
  <si>
    <t>Equipe Técnica</t>
  </si>
  <si>
    <t>Paulo Fernando de Abreu</t>
  </si>
  <si>
    <t>TABELAS E GRÁFICOS</t>
  </si>
  <si>
    <t>Preço Medio: em US$ por saca</t>
  </si>
  <si>
    <t>Receita: em mil US$</t>
  </si>
  <si>
    <t>Volume: em saca de 60 kg</t>
  </si>
  <si>
    <t>Exportações Brasileiras de Café Solúvel (Secex)</t>
  </si>
  <si>
    <t>Conillon</t>
  </si>
  <si>
    <t>CAFÉ - RANKING</t>
  </si>
  <si>
    <t>Países</t>
  </si>
  <si>
    <t xml:space="preserve">Part. (%) </t>
  </si>
  <si>
    <t>Colômbia</t>
  </si>
  <si>
    <t>Indonésia</t>
  </si>
  <si>
    <t>México</t>
  </si>
  <si>
    <t>Índia</t>
  </si>
  <si>
    <t>Outros países</t>
  </si>
  <si>
    <t>Guatemala</t>
  </si>
  <si>
    <t>(Base Varginha-MG)</t>
  </si>
  <si>
    <t>(Base Vitória-ES)</t>
  </si>
  <si>
    <t>REGIÃO</t>
  </si>
  <si>
    <t>*Brasil</t>
  </si>
  <si>
    <t>Costa do Marfim</t>
  </si>
  <si>
    <t>Etiópia</t>
  </si>
  <si>
    <t>Peru</t>
  </si>
  <si>
    <t>Venda  Contrato  Opção  Café - Vencimento - Set/2003</t>
  </si>
  <si>
    <t>UF de Depósito</t>
  </si>
  <si>
    <t>OFERTADO</t>
  </si>
  <si>
    <t>Exercício</t>
  </si>
  <si>
    <t>NEGOCIADO</t>
  </si>
  <si>
    <t>ADQUIRIDO</t>
  </si>
  <si>
    <t>Nº Contratos</t>
  </si>
  <si>
    <t>Contrato          sacas</t>
  </si>
  <si>
    <t>R$/saca</t>
  </si>
  <si>
    <t>Nº   Contratos</t>
  </si>
  <si>
    <t xml:space="preserve"> PRÊMIO                     R$</t>
  </si>
  <si>
    <t xml:space="preserve"> PRÊMIO MÉDIO R$/saca</t>
  </si>
  <si>
    <t>VALOR PAGO               R$</t>
  </si>
  <si>
    <t>Goiás</t>
  </si>
  <si>
    <t>Total Café Arábica</t>
  </si>
  <si>
    <t>Total Café Arábica Rio Zona</t>
  </si>
  <si>
    <t>Total Café Robusta</t>
  </si>
  <si>
    <t>Total Geral</t>
  </si>
  <si>
    <t>FONTE: CONAB</t>
  </si>
  <si>
    <t>Venda  Contrato  Opção  Café - Vencimento - Nov/2003</t>
  </si>
  <si>
    <t>(Principais Países Produtores)</t>
  </si>
  <si>
    <t>(Em mil sacas de 60 kg)</t>
  </si>
  <si>
    <t>Produção</t>
  </si>
  <si>
    <t>Exportação</t>
  </si>
  <si>
    <t>Consumo</t>
  </si>
  <si>
    <t>PRODUTIVIDADE</t>
  </si>
  <si>
    <t>SECRETARIA DE PRODUÇÃO E AGROENERGIA - SPAE</t>
  </si>
  <si>
    <t xml:space="preserve">SECRETARIA DE PRODUÇÃO E AGROENERGIA - SPAE </t>
  </si>
  <si>
    <t>Tipo 7 BC</t>
  </si>
  <si>
    <t>(Base Cepea-Esalq)</t>
  </si>
  <si>
    <t>DEPARTAMENTO DO CAFÉ  - DCAF</t>
  </si>
  <si>
    <t>* Conillon</t>
  </si>
  <si>
    <t xml:space="preserve">Tipo 6-Pen.13 </t>
  </si>
  <si>
    <t xml:space="preserve">(Base Cepea-Esalq) </t>
  </si>
  <si>
    <t xml:space="preserve"> Fontes: * CEPEA-ESALQ/BM&amp;F e Boletim do Café - Centro do Comércio de Café do Rio de Janeiro</t>
  </si>
  <si>
    <t>El Salvador</t>
  </si>
  <si>
    <t>Nicaragua</t>
  </si>
  <si>
    <t>Elaborado pela Coordenação Geral de Apoio ao Fundo de Defesa da Economia Cafeeira - CGFUNCAFÉ</t>
  </si>
  <si>
    <t>CEP: 70043-900 - Brasília - DF</t>
  </si>
  <si>
    <t>Fontes: *MAPA/SPAE/CONAB; O.I.C.</t>
  </si>
  <si>
    <t>Fontes: *MDIC/SECEX; O.I.C.</t>
  </si>
  <si>
    <t>Fontes: *ABIC; O.I.C.</t>
  </si>
  <si>
    <t>DEPARTAMENTO DO CAFÉ - DCAF</t>
  </si>
  <si>
    <t>EXPORTAÇÕES BRASILEIRAS DE CAFÉ VERDE</t>
  </si>
  <si>
    <t>Exportações Brasileiras de Café Verde (Secex))</t>
  </si>
  <si>
    <t>VERDE</t>
  </si>
  <si>
    <t>INDICADORES DE DESEMPENHO DA CAFEICULTURA BRASILEIRA</t>
  </si>
  <si>
    <t xml:space="preserve">2.1. Quantidade - milhões/sc </t>
  </si>
  <si>
    <t>2.3. Preço Médio - US$/sc</t>
  </si>
  <si>
    <t>7. Participação do café nas exportações</t>
  </si>
  <si>
    <t>1.2. Produtividade sc/ha</t>
  </si>
  <si>
    <t>2.2. Valor - bilhões/US$</t>
  </si>
  <si>
    <t>NCM: 0901.21.00/0901.22.00</t>
  </si>
  <si>
    <t>Fonte: MDIC/SECEX</t>
  </si>
  <si>
    <t>Fontes: DCAF - CONAB - ABIC - MDIC/SECEX - OIC - CEPEA/ESALQ/BM&amp;F</t>
  </si>
  <si>
    <t>CAFÉS</t>
  </si>
  <si>
    <t>Honduras</t>
  </si>
  <si>
    <t>Francisco Pires Sobrinho</t>
  </si>
  <si>
    <t>Janaína Macedo Freitas</t>
  </si>
  <si>
    <t>Exportações Brasileiras de Café Torrado e Moído (Secex)</t>
  </si>
  <si>
    <t>NCM: 0901.11.10/0901.12.00</t>
  </si>
  <si>
    <t xml:space="preserve">EXPORTAÇÕES BRASILEIRAS DE CAFÉ VERDE </t>
  </si>
  <si>
    <t>CONVÊNIO : MAPA - SPAE / CONAB</t>
  </si>
  <si>
    <t>e-mail: paulo.abreu@agricultura.gov.br</t>
  </si>
  <si>
    <t>Telefone: (61) 3218-2812, 3322-0408</t>
  </si>
  <si>
    <t>PRODUÇÃO FINAL</t>
  </si>
  <si>
    <t xml:space="preserve">8. Preços do café tipo 6, bebida dura, recebidos </t>
  </si>
  <si>
    <t xml:space="preserve">5.1. Financiamentos </t>
  </si>
  <si>
    <t xml:space="preserve">5.2. Publicidade e Promoção dos Cafés do Brasil </t>
  </si>
  <si>
    <t>5. Orçamento aprovado Funcafé - R$ milhões</t>
  </si>
  <si>
    <t>UF /</t>
  </si>
  <si>
    <t>(Mil sacas beneficiadas)</t>
  </si>
  <si>
    <t>1.1. Área em produção - milhões/há</t>
  </si>
  <si>
    <t>Conversão Solúvel em sacas de 60 kg: peso liquido*2,6/60</t>
  </si>
  <si>
    <t>Conversão Torrado e Moído em sacas de 60 kg: peso liquido *1,19/60</t>
  </si>
  <si>
    <t xml:space="preserve">Volume: em saca de 60 kg </t>
  </si>
  <si>
    <t>EXPORTAÇÃO DO AGRONEGÓCIO BRASILEIRO - TOTAL</t>
  </si>
  <si>
    <t>SECRETARIA DE RELAÇÕES INTERNACIONAIS DO AGRONEGÓCIO - SRI</t>
  </si>
  <si>
    <t>DEPARTAMENTO DE PROMOÇÃO INTERNACIONAL DO AGRONEGÓCIO - DPI</t>
  </si>
  <si>
    <t>COORDENAÇÃO GERAL DE ORGANIZAÇÃO PARA EXPORTAÇÃO - CGOE</t>
  </si>
  <si>
    <t>PRINCIPAIS PRODUTOS EXPORTADOS</t>
  </si>
  <si>
    <t>Var.% (a/b)</t>
  </si>
  <si>
    <t>Part. %</t>
  </si>
  <si>
    <t>COMPLEXO SOJA</t>
  </si>
  <si>
    <t>PRODUTOS FLORESTAIS</t>
  </si>
  <si>
    <t>COMPLEXO SUCROALCOOLEIRO</t>
  </si>
  <si>
    <t>CAFÉ VERDE</t>
  </si>
  <si>
    <t>CAFÉ SOLÚVEL</t>
  </si>
  <si>
    <t>FUMO E SEUS PRODUTOS</t>
  </si>
  <si>
    <t>FIBRAS E PRODUTOS TÊXTEIS</t>
  </si>
  <si>
    <t>DEMAIS PRODUTOS</t>
  </si>
  <si>
    <t>TOTAL:</t>
  </si>
  <si>
    <t>US$ MIL - (a)</t>
  </si>
  <si>
    <t>US$ MIL - (b)</t>
  </si>
  <si>
    <t>Conversão Verde em sacas de 60 kg: peso liquido/60</t>
  </si>
  <si>
    <t>Esplanada dos Ministérios, Bloco "D", 7º andar sala 744</t>
  </si>
  <si>
    <t>Vietnan</t>
  </si>
  <si>
    <t>INDICADORES</t>
  </si>
  <si>
    <t>EM FORMAÇÃO</t>
  </si>
  <si>
    <r>
      <t xml:space="preserve">1. Produção - milhões/sc </t>
    </r>
    <r>
      <rPr>
        <b/>
        <vertAlign val="superscript"/>
        <sz val="14"/>
        <rFont val="Arial"/>
        <family val="2"/>
      </rPr>
      <t>(1)</t>
    </r>
  </si>
  <si>
    <t>3.1. Consumo per capita - kg/habitante ano</t>
  </si>
  <si>
    <t>FRUTAS (INCLUI NOZES E CASTANHAS)</t>
  </si>
  <si>
    <t>Getulio Akio Shinkawa</t>
  </si>
  <si>
    <t>Antonio Augusto Ribeiro Vaz Costa</t>
  </si>
  <si>
    <t>Coordenador: Marconni Sobreira</t>
  </si>
  <si>
    <t>Eduardo Chacur</t>
  </si>
  <si>
    <t>NCM: 2101.11.90/2101.12.00</t>
  </si>
  <si>
    <t>2009</t>
  </si>
  <si>
    <t xml:space="preserve">EXPORTAÇÕES BRASILEIRAS DE OUTROS EXTRATOS, ESSENCIAIS, PREPARS, CONCENTRADOS DE CAFÉ </t>
  </si>
  <si>
    <t>OUTROS EXTRATOS, ESSENCIAIS, CONCENTRADOS</t>
  </si>
  <si>
    <t>Conversão Outs.Estratos, Essenciais em sacas de 60 kg: peso liquido*2,6/60</t>
  </si>
  <si>
    <t>OUTROS EXTRATOS</t>
  </si>
  <si>
    <r>
      <t xml:space="preserve">2. Exportação - Verde, solúvel, extratos e torrado </t>
    </r>
    <r>
      <rPr>
        <b/>
        <vertAlign val="superscript"/>
        <sz val="14"/>
        <rFont val="Arial"/>
        <family val="2"/>
      </rPr>
      <t>(2)</t>
    </r>
  </si>
  <si>
    <t>CARNES</t>
  </si>
  <si>
    <t>COUROS, PRODUTOS DE COURO E PELETERIA</t>
  </si>
  <si>
    <t>CEREAIS, FARINHAS E PREPARAÇÕES</t>
  </si>
  <si>
    <t>2010</t>
  </si>
  <si>
    <t>Elaboração: MAPA/SPAE/DCAF</t>
  </si>
  <si>
    <t>Amanda Martins de Lima</t>
  </si>
  <si>
    <t xml:space="preserve">EXPORTAÇÕES BRASILEIRAS DE OUTROS EXTRATOS, CONCENTRADOS DE CAFÉ </t>
  </si>
  <si>
    <t>Exportações Brasileiras de Outros Extratos, Concentrado de Café (Secex)</t>
  </si>
  <si>
    <t>Exportações Brasileiras de Cafés - Principais Países Importadores (Secex)</t>
  </si>
  <si>
    <t>Fonte: AgroStat Brasil a partir de dados da SECEX/MDIC</t>
  </si>
  <si>
    <t xml:space="preserve">Produção, Exportação e Consumo Mundial de Café (RANKING) </t>
  </si>
  <si>
    <t>2011</t>
  </si>
  <si>
    <t>SAFRA  2012</t>
  </si>
  <si>
    <t xml:space="preserve">  - Cerrado</t>
  </si>
  <si>
    <t xml:space="preserve">  - Planalto</t>
  </si>
  <si>
    <t xml:space="preserve">  - Atlântico</t>
  </si>
  <si>
    <t>Exportação do Agronegócio Brasileiro - Principais Produtos - Ranking</t>
  </si>
  <si>
    <t>US$ (FOB)</t>
  </si>
  <si>
    <t>SC/60 kg</t>
  </si>
  <si>
    <t>CASCAS, PELÍCULAS DE CAFÉ E SUCEDANEOS</t>
  </si>
  <si>
    <t>EXPORTAÇÕES BRASILEIRAS DE CAFÉS</t>
  </si>
  <si>
    <t xml:space="preserve">CASCAS, PELÍCULAS DE CAFÉ </t>
  </si>
  <si>
    <t>BEBIDAS</t>
  </si>
  <si>
    <t xml:space="preserve">Cotação Mensal dos Preços de Cafés Recebidos pelos produtores  </t>
  </si>
  <si>
    <t>Sul e Centro-Oeste</t>
  </si>
  <si>
    <t>Triângulo, Alto Paranaiba e Noroeste</t>
  </si>
  <si>
    <t>Norte, Jequitinhonha e Mucuri</t>
  </si>
  <si>
    <t>TORRADO &amp; MOÍDO</t>
  </si>
  <si>
    <t>EXPORTAÇÕES BRASILEIRAS DE CAFÉ TORRADO &amp; MOÍDO</t>
  </si>
  <si>
    <t>CAFÉ TORRADO &amp; MOÍDO</t>
  </si>
  <si>
    <t>TORRADO E MOÍDO</t>
  </si>
  <si>
    <t xml:space="preserve">  ALEMANHA </t>
  </si>
  <si>
    <t xml:space="preserve">  ESTADOS UNIDOS </t>
  </si>
  <si>
    <t xml:space="preserve">  JAPAO </t>
  </si>
  <si>
    <t xml:space="preserve">  ITALIA </t>
  </si>
  <si>
    <t xml:space="preserve">  BELGICA </t>
  </si>
  <si>
    <t xml:space="preserve">  ESPANHA </t>
  </si>
  <si>
    <t xml:space="preserve">  FRANCA </t>
  </si>
  <si>
    <t xml:space="preserve">  SUECIA </t>
  </si>
  <si>
    <t xml:space="preserve">  CANADA </t>
  </si>
  <si>
    <t xml:space="preserve">  FINLANDIA </t>
  </si>
  <si>
    <t xml:space="preserve">  TURQUIA </t>
  </si>
  <si>
    <t xml:space="preserve">  REINO UNIDO </t>
  </si>
  <si>
    <t xml:space="preserve">  RUSSIA,FEDDA </t>
  </si>
  <si>
    <t xml:space="preserve">  COREIA,REPSUL </t>
  </si>
  <si>
    <t xml:space="preserve">  UCRANIA </t>
  </si>
  <si>
    <t xml:space="preserve">  ARGENTINA </t>
  </si>
  <si>
    <t xml:space="preserve">  ARABIA SAUDITA </t>
  </si>
  <si>
    <t xml:space="preserve">  HUNGRIA </t>
  </si>
  <si>
    <t xml:space="preserve">  CHILE </t>
  </si>
  <si>
    <t xml:space="preserve">  PARAGUAI </t>
  </si>
  <si>
    <t xml:space="preserve">  URUGUAI </t>
  </si>
  <si>
    <t xml:space="preserve">  BOLIVIA </t>
  </si>
  <si>
    <t xml:space="preserve">  MEXICO </t>
  </si>
  <si>
    <t>Fax:         (61) 3322-0337</t>
  </si>
  <si>
    <t xml:space="preserve">   OUTROS</t>
  </si>
  <si>
    <t xml:space="preserve">  MALASIA </t>
  </si>
  <si>
    <t xml:space="preserve">  TAIWAN FORMOSA </t>
  </si>
  <si>
    <t>CASCAS, PELÍCULAS</t>
  </si>
  <si>
    <t xml:space="preserve">  CINGAPURA </t>
  </si>
  <si>
    <t>Secretário-Executivo: JOSÉ GERARDO FONTELLES</t>
  </si>
  <si>
    <t xml:space="preserve">Zona da Mata, Rio Doce    e Central </t>
  </si>
  <si>
    <t>SAFRA  2013</t>
  </si>
  <si>
    <t>6. Participação das exportações brasileiras de cafés em</t>
  </si>
  <si>
    <t xml:space="preserve">  ESLOVENIA,REP </t>
  </si>
  <si>
    <t>Uganda</t>
  </si>
  <si>
    <t>2012</t>
  </si>
  <si>
    <t>Costa Rica</t>
  </si>
  <si>
    <t>PESCADOS</t>
  </si>
  <si>
    <t>ANIMAIS VIVOS (EXCETO PESCADOS)</t>
  </si>
  <si>
    <t>Selecione: Café</t>
  </si>
  <si>
    <t>CHÁ, MATE E ESPECIARIAS</t>
  </si>
  <si>
    <t>ANO 15º.</t>
  </si>
  <si>
    <t>CAFÉ - Média Mensal dos Preços Recebidos pelos Produtores - 2013/2014</t>
  </si>
  <si>
    <t xml:space="preserve">Tipo C Interno 500 </t>
  </si>
  <si>
    <t xml:space="preserve"> Tipo C Interno 500 </t>
  </si>
  <si>
    <t>Safra Produção Final - 2013 - 2012</t>
  </si>
  <si>
    <t>Previsão de Safra - 2014</t>
  </si>
  <si>
    <t>2003 a 2014</t>
  </si>
  <si>
    <t>(3) 2014 - Estimativa</t>
  </si>
  <si>
    <t>RANKING POR VALORES DE 2014</t>
  </si>
  <si>
    <t>(14/13)</t>
  </si>
  <si>
    <t>ESTOQUES PRIVADOS E PÚBLICOS DE CAFÉ NO BRASIL</t>
  </si>
  <si>
    <t>ANO</t>
  </si>
  <si>
    <t>ESTOQUES PRIVADOS</t>
  </si>
  <si>
    <t>TOTAL GERAL</t>
  </si>
  <si>
    <t>Total</t>
  </si>
  <si>
    <t>DCAF</t>
  </si>
  <si>
    <t>CONAB</t>
  </si>
  <si>
    <t>Fontes: CONAB</t>
  </si>
  <si>
    <t>PÚBLICOS</t>
  </si>
  <si>
    <t>Estoques privados realizados com base no levantamento efetuado pela CONAB em 31.03.</t>
  </si>
  <si>
    <t xml:space="preserve">COMPANHIA NACIONAL DE ABASTECIMENTO </t>
  </si>
  <si>
    <t>5.3. Pesquisa Cafeeira</t>
  </si>
  <si>
    <t>2013</t>
  </si>
  <si>
    <t xml:space="preserve">  NICARAGUA </t>
  </si>
  <si>
    <t>Estoques Privados e Públicos de Café no Brasil</t>
  </si>
  <si>
    <t xml:space="preserve">  INDONESIA </t>
  </si>
  <si>
    <t xml:space="preserve">  GEORGIA,REPDA </t>
  </si>
  <si>
    <t>Ministro: NERI GELLER</t>
  </si>
  <si>
    <t>LÁCTEOS</t>
  </si>
  <si>
    <t>Secretária da SPAE: CLEIDE EDVIRGES SANTOS LAIA</t>
  </si>
  <si>
    <r>
      <t xml:space="preserve">2014 </t>
    </r>
    <r>
      <rPr>
        <b/>
        <vertAlign val="superscript"/>
        <sz val="14"/>
        <color indexed="12"/>
        <rFont val="Arial"/>
        <family val="2"/>
      </rPr>
      <t>(1)</t>
    </r>
  </si>
  <si>
    <r>
      <t xml:space="preserve">21,0 </t>
    </r>
    <r>
      <rPr>
        <b/>
        <sz val="9"/>
        <rFont val="Arial"/>
        <family val="2"/>
      </rPr>
      <t>(3)</t>
    </r>
  </si>
  <si>
    <r>
      <t>pelos produtores, base CEPEA/ESALQ (R$/sc)</t>
    </r>
    <r>
      <rPr>
        <b/>
        <vertAlign val="superscript"/>
        <sz val="14"/>
        <rFont val="Arial"/>
        <family val="2"/>
      </rPr>
      <t xml:space="preserve"> </t>
    </r>
  </si>
  <si>
    <r>
      <t>relação às exportações mundiais (em sc) (%)</t>
    </r>
    <r>
      <rPr>
        <b/>
        <vertAlign val="superscript"/>
        <sz val="14"/>
        <rFont val="Arial"/>
        <family val="2"/>
      </rPr>
      <t xml:space="preserve"> </t>
    </r>
  </si>
  <si>
    <r>
      <t>do agronegócio (em US$) (%)</t>
    </r>
    <r>
      <rPr>
        <b/>
        <vertAlign val="superscript"/>
        <sz val="14"/>
        <rFont val="Arial"/>
        <family val="2"/>
      </rPr>
      <t xml:space="preserve"> </t>
    </r>
  </si>
  <si>
    <r>
      <t>3.</t>
    </r>
    <r>
      <rPr>
        <b/>
        <sz val="13"/>
        <rFont val="Arial"/>
        <family val="2"/>
      </rPr>
      <t xml:space="preserve"> Consumo interno de café T&amp;M e Solúvel - milhões/sc </t>
    </r>
  </si>
  <si>
    <t>TOTAL DAS EXPORTAÇÕES BRASILEIRAS DE CAFÉS</t>
  </si>
  <si>
    <t>TOTAL DAS IMPORTAÇÕES BRASILEIRAS DE CAFÉS</t>
  </si>
  <si>
    <t xml:space="preserve">Indicadores de Desempenho da Cafeicultura Brasileira - 2003 a 2014  </t>
  </si>
  <si>
    <t>(1) 2014 com base no 2º Levantamento de Safra da CONAB - Maio/14</t>
  </si>
  <si>
    <t>SAFRA  2014</t>
  </si>
  <si>
    <t>SEGUNDO LEVANTAMENTO</t>
  </si>
  <si>
    <t>(2).</t>
  </si>
  <si>
    <t>http://www.agricultura.gov.br/vegetal/cafe/estatisticas</t>
  </si>
  <si>
    <t>4. Estoques Públicos e Privados - milhões/sc</t>
  </si>
  <si>
    <t>Total das Exportações Brasileiras de Cafés em sacas de 60 kg (Secex)</t>
  </si>
  <si>
    <t>Total das Importações Brasileiras de Cafés em sacas de 60 kg (Secex)</t>
  </si>
  <si>
    <t>Produção Mundial - Produtores</t>
  </si>
  <si>
    <t>Exportação Mundial - Produtores</t>
  </si>
  <si>
    <t>Consumo Interno - Produtores</t>
  </si>
  <si>
    <t xml:space="preserve">Produção, Exportação Mundial e Consumo Interno de Café </t>
  </si>
  <si>
    <t xml:space="preserve">  IRLANDA </t>
  </si>
  <si>
    <t xml:space="preserve">SUCOS </t>
  </si>
  <si>
    <t xml:space="preserve">  CHINA </t>
  </si>
  <si>
    <t>CACAU E SEUS PRODUTOS</t>
  </si>
  <si>
    <t xml:space="preserve"> - Agosto/2014 - </t>
  </si>
  <si>
    <t>(2) 2014 - De Janeiro a Agosto</t>
  </si>
  <si>
    <t>(4) 2014 - De Janeiro a Julho</t>
  </si>
  <si>
    <t>Jan a Ago/2014</t>
  </si>
  <si>
    <t>Jan a Ago/2013</t>
  </si>
  <si>
    <t>Jan a Ago14</t>
  </si>
  <si>
    <t>Jan a Ago/13</t>
  </si>
  <si>
    <t>Jan a Ago/14</t>
  </si>
  <si>
    <r>
      <t xml:space="preserve">30,95 </t>
    </r>
    <r>
      <rPr>
        <b/>
        <sz val="9"/>
        <rFont val="Arial"/>
        <family val="2"/>
      </rPr>
      <t>(4)</t>
    </r>
  </si>
  <si>
    <r>
      <t xml:space="preserve">399,19 </t>
    </r>
    <r>
      <rPr>
        <b/>
        <sz val="9"/>
        <rFont val="Arial"/>
        <family val="2"/>
      </rPr>
      <t>(2)</t>
    </r>
  </si>
  <si>
    <r>
      <t>6,0</t>
    </r>
    <r>
      <rPr>
        <b/>
        <sz val="9"/>
        <rFont val="Arial"/>
        <family val="2"/>
      </rPr>
      <t xml:space="preserve"> (2)</t>
    </r>
  </si>
  <si>
    <t>Ministério da Agricultura, Pecuária e Abastecimento - MAPA</t>
  </si>
  <si>
    <t>Secretaria de Produção e Agroenergia - SPAE</t>
  </si>
  <si>
    <t>Departamento do Café - DCAF</t>
  </si>
  <si>
    <t>Linhas de crédito destinadas a financiamentos ao amparo de recursos do Fundo de Defesa da Economia Cafeeira - FUNCAFÉ Ano Base 2014 (LIBERAÇÕES)</t>
  </si>
  <si>
    <t xml:space="preserve">Lei Orçamentaria Anual nº 12.952 de 21/01/2014, Resoluções nºs 4.325 de 25/04/2014 e 4.340 de 20/06/2014  </t>
  </si>
  <si>
    <t>(R$)</t>
  </si>
  <si>
    <t>AGENTES FINANCEIROS</t>
  </si>
  <si>
    <t>Total Contratado</t>
  </si>
  <si>
    <t>MODALIDADES</t>
  </si>
  <si>
    <t>Saldo a liberar</t>
  </si>
  <si>
    <t>Custeio</t>
  </si>
  <si>
    <t>Estocagem</t>
  </si>
  <si>
    <t>FAC</t>
  </si>
  <si>
    <t>Capital de Giro para Ind. de Café Solúvel</t>
  </si>
  <si>
    <t xml:space="preserve">Capital de Giro para Ind. de Torrefação de Café </t>
  </si>
  <si>
    <t xml:space="preserve">Capital de Giro para Cooperativas de Produção </t>
  </si>
  <si>
    <t>Recuperação de cafezais danificados</t>
  </si>
  <si>
    <t>Contratos de Opções e de Operações em Mercados Futuros</t>
  </si>
  <si>
    <t>Total liberado</t>
  </si>
  <si>
    <t>Banco ABC Brasil S.A.</t>
  </si>
  <si>
    <t>Banco Banestes S.A.</t>
  </si>
  <si>
    <t>Banco Bicbanco S.A.</t>
  </si>
  <si>
    <t>Banco BNP Paribas Brasil S.A.</t>
  </si>
  <si>
    <t>Banco BPN Brasil Banco Múltiplo S.A.</t>
  </si>
  <si>
    <t>Banco Bradesco S.A.</t>
  </si>
  <si>
    <t>Banco Cooperativo do Brasil S.A. - Bancoob</t>
  </si>
  <si>
    <t>Banco de Desenvolvimento de Minas Gerais</t>
  </si>
  <si>
    <t>Banco de Tokyo S.A.</t>
  </si>
  <si>
    <t>Banco do Brasil S.A.</t>
  </si>
  <si>
    <t>Banco Fibra S.A.</t>
  </si>
  <si>
    <t>Banco Itaú Unibanco S.A.</t>
  </si>
  <si>
    <t>Banco Original S.A.</t>
  </si>
  <si>
    <t xml:space="preserve">Banco Pine S.A. </t>
  </si>
  <si>
    <t>Banco RaboBank S.A.</t>
  </si>
  <si>
    <t>Banco Ribeirão Preto S.A.</t>
  </si>
  <si>
    <t>Banco Safra S.A.</t>
  </si>
  <si>
    <t>Banco Santander Brasil  S.A.</t>
  </si>
  <si>
    <t>Banco Votorantim S.A.</t>
  </si>
  <si>
    <t>Cooperativa Central de Crédito de Minas Gerais - Crediminas</t>
  </si>
  <si>
    <t>Cooperativa Central de Crédito do Espírito Santo - Central ES</t>
  </si>
  <si>
    <t>Cooperativa de Crédio de Livre Ad. da Região de Alpinópolis-Credialp</t>
  </si>
  <si>
    <t>Cooperativa de Crédito de Livre Ad.de Carmo do Rio Claro-Credicarmo</t>
  </si>
  <si>
    <t>Cooperativa de Crédito de Livre Ad.do Sudoeste de MG e Nordeste de SP-Agrocredi</t>
  </si>
  <si>
    <t>Cooperativa de Crédito de Livre Admissão de Patrocínio-Coopacredi</t>
  </si>
  <si>
    <t>Cooperativa de Crédito de Livre Admissão da Região de Varginha-Credivar</t>
  </si>
  <si>
    <t>Fonte: SIAFI-FUNCAFÉ UG 130137</t>
  </si>
  <si>
    <t>Recursos do FUNCAFÉ liberados aos Agentes Financeiros - 2014</t>
  </si>
  <si>
    <t xml:space="preserve">Posição: 11/09/2014  </t>
  </si>
  <si>
    <t>Diretor do DCAF: RODOLFO OSORIO DE OLIVEIRA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</si>
</sst>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"/>
    <numFmt numFmtId="169" formatCode="_(* #,##0_);_(* \(#,##0\);_(* &quot;-&quot;??_);_(@_)"/>
    <numFmt numFmtId="170" formatCode="0.0%"/>
    <numFmt numFmtId="171" formatCode="#,##0;[Red]\-#,##0;_(* &quot;---&quot;_);_(@_)"/>
    <numFmt numFmtId="172" formatCode="_(* #,##0.0_);_(* \(#,##0.0\);_(* &quot;-&quot;??_);_(@_)"/>
    <numFmt numFmtId="173" formatCode="_(* #,##0_);_(* \(#,##0\);_(* \-_);_(@_)"/>
    <numFmt numFmtId="174" formatCode="_(* #,##0.0000000_);_(* \(#,##0.0000000\);_(* &quot;-&quot;_);_(@_)"/>
    <numFmt numFmtId="175" formatCode="#,##0.000;[Red]\-#,##0.000;_(* &quot;---&quot;_);_(@_)"/>
    <numFmt numFmtId="176" formatCode="_(* #,##0.0000_);_(* \(#,##0.0000\);_(* &quot;-&quot;??_);_(@_)"/>
    <numFmt numFmtId="177" formatCode="_-* #,##0_-;\-* #,##0_-;_-* &quot;-&quot;??_-;_-@_-"/>
  </numFmts>
  <fonts count="7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5.75"/>
      <name val="Arial"/>
      <family val="2"/>
    </font>
    <font>
      <sz val="5.75"/>
      <name val="Arial"/>
      <family val="2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6"/>
      <color indexed="10"/>
      <name val="Arial Black"/>
      <family val="2"/>
    </font>
    <font>
      <b/>
      <sz val="11"/>
      <color indexed="8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u val="single"/>
      <sz val="12"/>
      <name val="Arial"/>
      <family val="2"/>
    </font>
    <font>
      <b/>
      <sz val="13"/>
      <color indexed="12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b/>
      <sz val="7.5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u val="single"/>
      <sz val="12"/>
      <color indexed="12"/>
      <name val="Arial"/>
      <family val="0"/>
    </font>
    <font>
      <b/>
      <vertAlign val="superscript"/>
      <sz val="14"/>
      <color indexed="12"/>
      <name val="Arial"/>
      <family val="2"/>
    </font>
    <font>
      <b/>
      <sz val="10"/>
      <name val="Arial Black"/>
      <family val="2"/>
    </font>
    <font>
      <sz val="1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2"/>
      </patternFill>
    </fill>
    <fill>
      <patternFill patternType="lightGray">
        <fgColor indexed="50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7" borderId="0" applyNumberFormat="0" applyBorder="0" applyAlignment="0" applyProtection="0"/>
    <xf numFmtId="0" fontId="39" fillId="16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6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7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45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9" borderId="0" applyNumberFormat="0" applyBorder="0" applyAlignment="0" applyProtection="0"/>
    <xf numFmtId="0" fontId="41" fillId="15" borderId="1" applyNumberFormat="0" applyAlignment="0" applyProtection="0"/>
    <xf numFmtId="0" fontId="41" fillId="15" borderId="1" applyNumberFormat="0" applyAlignment="0" applyProtection="0"/>
    <xf numFmtId="0" fontId="41" fillId="15" borderId="1" applyNumberFormat="0" applyAlignment="0" applyProtection="0"/>
    <xf numFmtId="0" fontId="41" fillId="8" borderId="1" applyNumberFormat="0" applyAlignment="0" applyProtection="0"/>
    <xf numFmtId="0" fontId="42" fillId="24" borderId="2" applyNumberFormat="0" applyAlignment="0" applyProtection="0"/>
    <xf numFmtId="0" fontId="42" fillId="24" borderId="2" applyNumberFormat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8" fillId="0" borderId="4" applyNumberFormat="0" applyFill="0" applyAlignment="0" applyProtection="0"/>
    <xf numFmtId="0" fontId="42" fillId="24" borderId="2" applyNumberFormat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5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26" borderId="1" applyNumberFormat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5" borderId="0" applyNumberFormat="0" applyBorder="0" applyAlignment="0" applyProtection="0"/>
    <xf numFmtId="0" fontId="44" fillId="7" borderId="1" applyNumberFormat="0" applyAlignment="0" applyProtection="0"/>
    <xf numFmtId="0" fontId="43" fillId="0" borderId="3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60" fillId="26" borderId="0" applyNumberFormat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0" borderId="8" applyNumberFormat="0" applyFont="0" applyAlignment="0" applyProtection="0"/>
    <xf numFmtId="0" fontId="0" fillId="10" borderId="8" applyNumberFormat="0" applyFont="0" applyAlignment="0" applyProtection="0"/>
    <xf numFmtId="0" fontId="38" fillId="10" borderId="8" applyNumberFormat="0" applyFont="0" applyAlignment="0" applyProtection="0"/>
    <xf numFmtId="0" fontId="47" fillId="15" borderId="9" applyNumberFormat="0" applyAlignment="0" applyProtection="0"/>
    <xf numFmtId="9" fontId="0" fillId="0" borderId="0" applyFont="0" applyFill="0" applyBorder="0" applyAlignment="0" applyProtection="0"/>
    <xf numFmtId="0" fontId="47" fillId="15" borderId="9" applyNumberFormat="0" applyAlignment="0" applyProtection="0"/>
    <xf numFmtId="0" fontId="47" fillId="15" borderId="9" applyNumberFormat="0" applyAlignment="0" applyProtection="0"/>
    <xf numFmtId="0" fontId="47" fillId="8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62" fillId="0" borderId="10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63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64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54" fillId="0" borderId="13" applyNumberFormat="0" applyFill="0" applyAlignment="0" applyProtection="0"/>
    <xf numFmtId="0" fontId="48" fillId="0" borderId="0" applyNumberFormat="0" applyFill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149">
      <alignment/>
      <protection/>
    </xf>
    <xf numFmtId="0" fontId="23" fillId="4" borderId="0" xfId="149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center"/>
    </xf>
    <xf numFmtId="0" fontId="0" fillId="0" borderId="0" xfId="149" applyFill="1" applyBorder="1" applyAlignment="1">
      <alignment vertical="center"/>
      <protection/>
    </xf>
    <xf numFmtId="0" fontId="0" fillId="0" borderId="0" xfId="149" applyAlignment="1">
      <alignment vertical="center"/>
      <protection/>
    </xf>
    <xf numFmtId="0" fontId="24" fillId="0" borderId="0" xfId="0" applyFont="1" applyBorder="1" applyAlignment="1">
      <alignment horizontal="center" vertical="center"/>
    </xf>
    <xf numFmtId="0" fontId="0" fillId="8" borderId="0" xfId="149" applyFill="1" applyBorder="1" applyAlignment="1">
      <alignment vertical="center"/>
      <protection/>
    </xf>
    <xf numFmtId="0" fontId="23" fillId="8" borderId="0" xfId="149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5" fillId="8" borderId="0" xfId="149" applyFont="1" applyFill="1" applyBorder="1" applyAlignment="1">
      <alignment horizontal="center" vertical="center"/>
      <protection/>
    </xf>
    <xf numFmtId="0" fontId="6" fillId="0" borderId="0" xfId="149" applyFont="1">
      <alignment/>
      <protection/>
    </xf>
    <xf numFmtId="0" fontId="6" fillId="0" borderId="0" xfId="0" applyFont="1" applyFill="1" applyAlignment="1">
      <alignment/>
    </xf>
    <xf numFmtId="169" fontId="4" fillId="0" borderId="0" xfId="163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15" borderId="16" xfId="0" applyFont="1" applyFill="1" applyBorder="1" applyAlignment="1">
      <alignment horizontal="centerContinuous"/>
    </xf>
    <xf numFmtId="0" fontId="0" fillId="15" borderId="0" xfId="0" applyFont="1" applyFill="1" applyBorder="1" applyAlignment="1">
      <alignment/>
    </xf>
    <xf numFmtId="167" fontId="0" fillId="0" borderId="0" xfId="163" applyFont="1" applyAlignment="1">
      <alignment horizontal="center"/>
    </xf>
    <xf numFmtId="0" fontId="0" fillId="10" borderId="17" xfId="0" applyFont="1" applyFill="1" applyBorder="1" applyAlignment="1">
      <alignment/>
    </xf>
    <xf numFmtId="3" fontId="0" fillId="10" borderId="18" xfId="0" applyNumberFormat="1" applyFont="1" applyFill="1" applyBorder="1" applyAlignment="1">
      <alignment horizontal="right"/>
    </xf>
    <xf numFmtId="3" fontId="0" fillId="10" borderId="19" xfId="0" applyNumberFormat="1" applyFont="1" applyFill="1" applyBorder="1" applyAlignment="1">
      <alignment horizontal="right"/>
    </xf>
    <xf numFmtId="167" fontId="0" fillId="10" borderId="20" xfId="163" applyFont="1" applyFill="1" applyBorder="1" applyAlignment="1">
      <alignment horizontal="center"/>
    </xf>
    <xf numFmtId="3" fontId="0" fillId="10" borderId="2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10" borderId="18" xfId="0" applyFont="1" applyFill="1" applyBorder="1" applyAlignment="1">
      <alignment/>
    </xf>
    <xf numFmtId="0" fontId="0" fillId="0" borderId="22" xfId="0" applyFont="1" applyBorder="1" applyAlignment="1">
      <alignment/>
    </xf>
    <xf numFmtId="167" fontId="6" fillId="0" borderId="0" xfId="0" applyNumberFormat="1" applyFont="1" applyFill="1" applyAlignment="1">
      <alignment/>
    </xf>
    <xf numFmtId="0" fontId="27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3" fontId="1" fillId="0" borderId="17" xfId="0" applyNumberFormat="1" applyFont="1" applyFill="1" applyBorder="1" applyAlignment="1">
      <alignment horizontal="right" vertical="center"/>
    </xf>
    <xf numFmtId="4" fontId="1" fillId="0" borderId="34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3" fontId="8" fillId="4" borderId="20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horizontal="right" vertical="center"/>
    </xf>
    <xf numFmtId="3" fontId="1" fillId="4" borderId="34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vertical="center"/>
    </xf>
    <xf numFmtId="4" fontId="8" fillId="4" borderId="17" xfId="0" applyNumberFormat="1" applyFont="1" applyFill="1" applyBorder="1" applyAlignment="1">
      <alignment vertical="center"/>
    </xf>
    <xf numFmtId="4" fontId="8" fillId="4" borderId="33" xfId="0" applyNumberFormat="1" applyFont="1" applyFill="1" applyBorder="1" applyAlignment="1">
      <alignment vertical="center"/>
    </xf>
    <xf numFmtId="4" fontId="8" fillId="4" borderId="3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4" fontId="1" fillId="0" borderId="32" xfId="0" applyNumberFormat="1" applyFont="1" applyFill="1" applyBorder="1" applyAlignment="1">
      <alignment vertical="center"/>
    </xf>
    <xf numFmtId="4" fontId="1" fillId="0" borderId="3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8" fillId="4" borderId="31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4" fontId="8" fillId="4" borderId="32" xfId="0" applyNumberFormat="1" applyFont="1" applyFill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4" fontId="8" fillId="0" borderId="35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horizontal="right" vertical="center"/>
    </xf>
    <xf numFmtId="3" fontId="8" fillId="4" borderId="36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horizontal="right" vertical="center"/>
    </xf>
    <xf numFmtId="3" fontId="8" fillId="4" borderId="38" xfId="0" applyNumberFormat="1" applyFont="1" applyFill="1" applyBorder="1" applyAlignment="1">
      <alignment vertical="center"/>
    </xf>
    <xf numFmtId="3" fontId="8" fillId="4" borderId="37" xfId="0" applyNumberFormat="1" applyFont="1" applyFill="1" applyBorder="1" applyAlignment="1">
      <alignment vertical="center"/>
    </xf>
    <xf numFmtId="4" fontId="8" fillId="4" borderId="37" xfId="0" applyNumberFormat="1" applyFont="1" applyFill="1" applyBorder="1" applyAlignment="1">
      <alignment vertical="center"/>
    </xf>
    <xf numFmtId="4" fontId="8" fillId="4" borderId="3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3" fontId="1" fillId="4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4" borderId="16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169" fontId="0" fillId="0" borderId="17" xfId="163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15" borderId="17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0" fillId="15" borderId="32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169" fontId="0" fillId="0" borderId="40" xfId="163" applyNumberFormat="1" applyFont="1" applyFill="1" applyBorder="1" applyAlignment="1">
      <alignment/>
    </xf>
    <xf numFmtId="167" fontId="0" fillId="0" borderId="41" xfId="163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169" fontId="0" fillId="0" borderId="42" xfId="163" applyNumberFormat="1" applyFont="1" applyFill="1" applyBorder="1" applyAlignment="1">
      <alignment/>
    </xf>
    <xf numFmtId="167" fontId="0" fillId="0" borderId="43" xfId="163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7" fontId="0" fillId="0" borderId="31" xfId="163" applyNumberFormat="1" applyFont="1" applyFill="1" applyBorder="1" applyAlignment="1">
      <alignment/>
    </xf>
    <xf numFmtId="169" fontId="0" fillId="0" borderId="45" xfId="163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67" fontId="0" fillId="10" borderId="19" xfId="163" applyFont="1" applyFill="1" applyBorder="1" applyAlignment="1">
      <alignment horizontal="center"/>
    </xf>
    <xf numFmtId="3" fontId="0" fillId="10" borderId="22" xfId="0" applyNumberFormat="1" applyFont="1" applyFill="1" applyBorder="1" applyAlignment="1">
      <alignment horizontal="right"/>
    </xf>
    <xf numFmtId="3" fontId="0" fillId="10" borderId="45" xfId="0" applyNumberFormat="1" applyFont="1" applyFill="1" applyBorder="1" applyAlignment="1">
      <alignment horizontal="right"/>
    </xf>
    <xf numFmtId="0" fontId="0" fillId="15" borderId="45" xfId="0" applyFont="1" applyFill="1" applyBorder="1" applyAlignment="1">
      <alignment horizontal="centerContinuous"/>
    </xf>
    <xf numFmtId="167" fontId="0" fillId="10" borderId="31" xfId="163" applyFont="1" applyFill="1" applyBorder="1" applyAlignment="1">
      <alignment horizontal="center"/>
    </xf>
    <xf numFmtId="167" fontId="0" fillId="10" borderId="41" xfId="163" applyFont="1" applyFill="1" applyBorder="1" applyAlignment="1">
      <alignment horizontal="center"/>
    </xf>
    <xf numFmtId="3" fontId="0" fillId="10" borderId="4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9" fontId="0" fillId="0" borderId="42" xfId="163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4" fillId="15" borderId="17" xfId="0" applyNumberFormat="1" applyFont="1" applyFill="1" applyBorder="1" applyAlignment="1">
      <alignment horizontal="center"/>
    </xf>
    <xf numFmtId="3" fontId="4" fillId="15" borderId="17" xfId="0" applyNumberFormat="1" applyFont="1" applyFill="1" applyBorder="1" applyAlignment="1">
      <alignment horizontal="center"/>
    </xf>
    <xf numFmtId="2" fontId="4" fillId="15" borderId="17" xfId="0" applyNumberFormat="1" applyFont="1" applyFill="1" applyBorder="1" applyAlignment="1">
      <alignment horizontal="center"/>
    </xf>
    <xf numFmtId="167" fontId="0" fillId="8" borderId="17" xfId="163" applyNumberFormat="1" applyFont="1" applyFill="1" applyBorder="1" applyAlignment="1" quotePrefix="1">
      <alignment horizontal="right"/>
    </xf>
    <xf numFmtId="4" fontId="0" fillId="0" borderId="17" xfId="0" applyNumberFormat="1" applyFont="1" applyBorder="1" applyAlignment="1">
      <alignment/>
    </xf>
    <xf numFmtId="0" fontId="4" fillId="7" borderId="17" xfId="0" applyFont="1" applyFill="1" applyBorder="1" applyAlignment="1">
      <alignment horizontal="center" vertical="top" wrapText="1"/>
    </xf>
    <xf numFmtId="3" fontId="4" fillId="7" borderId="17" xfId="0" applyNumberFormat="1" applyFont="1" applyFill="1" applyBorder="1" applyAlignment="1">
      <alignment horizontal="right" vertical="top" wrapText="1"/>
    </xf>
    <xf numFmtId="167" fontId="4" fillId="7" borderId="17" xfId="163" applyNumberFormat="1" applyFont="1" applyFill="1" applyBorder="1" applyAlignment="1" quotePrefix="1">
      <alignment horizontal="right"/>
    </xf>
    <xf numFmtId="4" fontId="4" fillId="7" borderId="17" xfId="0" applyNumberFormat="1" applyFont="1" applyFill="1" applyBorder="1" applyAlignment="1">
      <alignment/>
    </xf>
    <xf numFmtId="3" fontId="4" fillId="15" borderId="20" xfId="0" applyNumberFormat="1" applyFont="1" applyFill="1" applyBorder="1" applyAlignment="1">
      <alignment horizontal="center"/>
    </xf>
    <xf numFmtId="0" fontId="4" fillId="15" borderId="32" xfId="0" applyFont="1" applyFill="1" applyBorder="1" applyAlignment="1">
      <alignment horizontal="center"/>
    </xf>
    <xf numFmtId="3" fontId="4" fillId="15" borderId="31" xfId="0" applyNumberFormat="1" applyFont="1" applyFill="1" applyBorder="1" applyAlignment="1">
      <alignment horizontal="center"/>
    </xf>
    <xf numFmtId="3" fontId="4" fillId="15" borderId="32" xfId="0" applyNumberFormat="1" applyFont="1" applyFill="1" applyBorder="1" applyAlignment="1">
      <alignment horizontal="center"/>
    </xf>
    <xf numFmtId="2" fontId="4" fillId="15" borderId="32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0" fontId="0" fillId="8" borderId="32" xfId="0" applyFont="1" applyFill="1" applyBorder="1" applyAlignment="1">
      <alignment/>
    </xf>
    <xf numFmtId="169" fontId="0" fillId="8" borderId="17" xfId="163" applyNumberFormat="1" applyFont="1" applyFill="1" applyBorder="1" applyAlignment="1">
      <alignment/>
    </xf>
    <xf numFmtId="169" fontId="0" fillId="8" borderId="17" xfId="163" applyNumberFormat="1" applyFont="1" applyFill="1" applyBorder="1" applyAlignment="1" quotePrefix="1">
      <alignment horizontal="right"/>
    </xf>
    <xf numFmtId="1" fontId="0" fillId="8" borderId="17" xfId="163" applyNumberFormat="1" applyFont="1" applyFill="1" applyBorder="1" applyAlignment="1" quotePrefix="1">
      <alignment horizontal="right"/>
    </xf>
    <xf numFmtId="169" fontId="4" fillId="8" borderId="17" xfId="163" applyNumberFormat="1" applyFont="1" applyFill="1" applyBorder="1" applyAlignment="1">
      <alignment/>
    </xf>
    <xf numFmtId="169" fontId="4" fillId="8" borderId="17" xfId="163" applyNumberFormat="1" applyFont="1" applyFill="1" applyBorder="1" applyAlignment="1" quotePrefix="1">
      <alignment horizontal="right"/>
    </xf>
    <xf numFmtId="4" fontId="4" fillId="0" borderId="17" xfId="0" applyNumberFormat="1" applyFont="1" applyBorder="1" applyAlignment="1">
      <alignment/>
    </xf>
    <xf numFmtId="0" fontId="0" fillId="8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1" fontId="0" fillId="0" borderId="17" xfId="0" applyNumberFormat="1" applyFont="1" applyBorder="1" applyAlignment="1">
      <alignment/>
    </xf>
    <xf numFmtId="0" fontId="4" fillId="7" borderId="17" xfId="0" applyFont="1" applyFill="1" applyBorder="1" applyAlignment="1">
      <alignment horizontal="center"/>
    </xf>
    <xf numFmtId="169" fontId="4" fillId="7" borderId="20" xfId="163" applyNumberFormat="1" applyFont="1" applyFill="1" applyBorder="1" applyAlignment="1">
      <alignment horizontal="right" vertical="center"/>
    </xf>
    <xf numFmtId="169" fontId="4" fillId="7" borderId="17" xfId="163" applyNumberFormat="1" applyFont="1" applyFill="1" applyBorder="1" applyAlignment="1">
      <alignment horizontal="right" vertical="center"/>
    </xf>
    <xf numFmtId="169" fontId="4" fillId="7" borderId="17" xfId="163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4" fillId="8" borderId="17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15" borderId="0" xfId="0" applyFont="1" applyFill="1" applyAlignment="1">
      <alignment horizontal="left"/>
    </xf>
    <xf numFmtId="2" fontId="0" fillId="0" borderId="0" xfId="0" applyNumberFormat="1" applyFont="1" applyAlignment="1">
      <alignment horizontal="center"/>
    </xf>
    <xf numFmtId="2" fontId="4" fillId="7" borderId="18" xfId="0" applyNumberFormat="1" applyFont="1" applyFill="1" applyBorder="1" applyAlignment="1">
      <alignment horizontal="centerContinuous"/>
    </xf>
    <xf numFmtId="2" fontId="4" fillId="7" borderId="19" xfId="0" applyNumberFormat="1" applyFont="1" applyFill="1" applyBorder="1" applyAlignment="1">
      <alignment horizontal="centerContinuous"/>
    </xf>
    <xf numFmtId="2" fontId="4" fillId="7" borderId="20" xfId="0" applyNumberFormat="1" applyFont="1" applyFill="1" applyBorder="1" applyAlignment="1">
      <alignment horizontal="centerContinuous"/>
    </xf>
    <xf numFmtId="0" fontId="0" fillId="10" borderId="45" xfId="0" applyFont="1" applyFill="1" applyBorder="1" applyAlignment="1">
      <alignment horizontal="right"/>
    </xf>
    <xf numFmtId="0" fontId="0" fillId="10" borderId="22" xfId="0" applyFont="1" applyFill="1" applyBorder="1" applyAlignment="1">
      <alignment horizontal="right"/>
    </xf>
    <xf numFmtId="0" fontId="0" fillId="10" borderId="31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32" fillId="0" borderId="21" xfId="0" applyFont="1" applyBorder="1" applyAlignment="1">
      <alignment/>
    </xf>
    <xf numFmtId="0" fontId="31" fillId="0" borderId="4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42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0" fontId="31" fillId="9" borderId="19" xfId="0" applyFont="1" applyFill="1" applyBorder="1" applyAlignment="1">
      <alignment/>
    </xf>
    <xf numFmtId="0" fontId="31" fillId="9" borderId="18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19" xfId="0" applyFont="1" applyBorder="1" applyAlignment="1">
      <alignment/>
    </xf>
    <xf numFmtId="0" fontId="31" fillId="0" borderId="18" xfId="0" applyFont="1" applyBorder="1" applyAlignment="1">
      <alignment horizontal="center"/>
    </xf>
    <xf numFmtId="0" fontId="31" fillId="0" borderId="22" xfId="0" applyFont="1" applyBorder="1" applyAlignment="1">
      <alignment/>
    </xf>
    <xf numFmtId="0" fontId="31" fillId="0" borderId="45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9" borderId="0" xfId="0" applyFont="1" applyFill="1" applyAlignment="1">
      <alignment/>
    </xf>
    <xf numFmtId="1" fontId="31" fillId="9" borderId="18" xfId="0" applyNumberFormat="1" applyFont="1" applyFill="1" applyBorder="1" applyAlignment="1">
      <alignment horizontal="center"/>
    </xf>
    <xf numFmtId="3" fontId="31" fillId="9" borderId="17" xfId="0" applyNumberFormat="1" applyFont="1" applyFill="1" applyBorder="1" applyAlignment="1">
      <alignment horizontal="center"/>
    </xf>
    <xf numFmtId="3" fontId="31" fillId="9" borderId="18" xfId="0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1" fillId="9" borderId="22" xfId="0" applyFont="1" applyFill="1" applyBorder="1" applyAlignment="1">
      <alignment/>
    </xf>
    <xf numFmtId="0" fontId="29" fillId="0" borderId="19" xfId="0" applyFont="1" applyBorder="1" applyAlignment="1">
      <alignment/>
    </xf>
    <xf numFmtId="0" fontId="31" fillId="0" borderId="17" xfId="0" applyFont="1" applyBorder="1" applyAlignment="1">
      <alignment horizontal="center"/>
    </xf>
    <xf numFmtId="0" fontId="31" fillId="9" borderId="41" xfId="0" applyFont="1" applyFill="1" applyBorder="1" applyAlignment="1">
      <alignment/>
    </xf>
    <xf numFmtId="168" fontId="31" fillId="0" borderId="42" xfId="0" applyNumberFormat="1" applyFont="1" applyFill="1" applyBorder="1" applyAlignment="1">
      <alignment horizontal="center"/>
    </xf>
    <xf numFmtId="168" fontId="31" fillId="0" borderId="44" xfId="0" applyNumberFormat="1" applyFont="1" applyFill="1" applyBorder="1" applyAlignment="1">
      <alignment horizontal="center"/>
    </xf>
    <xf numFmtId="168" fontId="31" fillId="0" borderId="40" xfId="0" applyNumberFormat="1" applyFont="1" applyBorder="1" applyAlignment="1">
      <alignment horizontal="center"/>
    </xf>
    <xf numFmtId="168" fontId="31" fillId="0" borderId="16" xfId="0" applyNumberFormat="1" applyFont="1" applyBorder="1" applyAlignment="1">
      <alignment horizontal="center"/>
    </xf>
    <xf numFmtId="168" fontId="31" fillId="0" borderId="42" xfId="0" applyNumberFormat="1" applyFont="1" applyBorder="1" applyAlignment="1">
      <alignment horizontal="center"/>
    </xf>
    <xf numFmtId="168" fontId="31" fillId="0" borderId="44" xfId="0" applyNumberFormat="1" applyFont="1" applyBorder="1" applyAlignment="1">
      <alignment horizontal="center"/>
    </xf>
    <xf numFmtId="168" fontId="31" fillId="0" borderId="18" xfId="0" applyNumberFormat="1" applyFont="1" applyBorder="1" applyAlignment="1">
      <alignment horizontal="center"/>
    </xf>
    <xf numFmtId="168" fontId="31" fillId="0" borderId="17" xfId="0" applyNumberFormat="1" applyFont="1" applyBorder="1" applyAlignment="1">
      <alignment horizontal="center"/>
    </xf>
    <xf numFmtId="168" fontId="31" fillId="9" borderId="42" xfId="0" applyNumberFormat="1" applyFont="1" applyFill="1" applyBorder="1" applyAlignment="1">
      <alignment horizontal="center"/>
    </xf>
    <xf numFmtId="168" fontId="31" fillId="9" borderId="44" xfId="0" applyNumberFormat="1" applyFont="1" applyFill="1" applyBorder="1" applyAlignment="1">
      <alignment horizontal="center"/>
    </xf>
    <xf numFmtId="168" fontId="31" fillId="9" borderId="18" xfId="0" applyNumberFormat="1" applyFont="1" applyFill="1" applyBorder="1" applyAlignment="1">
      <alignment horizontal="center"/>
    </xf>
    <xf numFmtId="168" fontId="31" fillId="9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1" fillId="9" borderId="29" xfId="0" applyFont="1" applyFill="1" applyBorder="1" applyAlignment="1">
      <alignment/>
    </xf>
    <xf numFmtId="168" fontId="31" fillId="9" borderId="45" xfId="0" applyNumberFormat="1" applyFont="1" applyFill="1" applyBorder="1" applyAlignment="1">
      <alignment horizontal="center"/>
    </xf>
    <xf numFmtId="168" fontId="31" fillId="9" borderId="32" xfId="0" applyNumberFormat="1" applyFont="1" applyFill="1" applyBorder="1" applyAlignment="1">
      <alignment horizontal="center"/>
    </xf>
    <xf numFmtId="0" fontId="31" fillId="0" borderId="0" xfId="149" applyFont="1" applyFill="1" applyBorder="1" applyAlignment="1">
      <alignment horizontal="center" vertical="center"/>
      <protection/>
    </xf>
    <xf numFmtId="0" fontId="33" fillId="0" borderId="0" xfId="149" applyFont="1" applyFill="1" applyBorder="1" applyAlignment="1">
      <alignment horizontal="center" vertical="center"/>
      <protection/>
    </xf>
    <xf numFmtId="2" fontId="31" fillId="0" borderId="40" xfId="0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4" fillId="0" borderId="0" xfId="152" applyFont="1" applyBorder="1" applyAlignment="1">
      <alignment vertical="center"/>
      <protection/>
    </xf>
    <xf numFmtId="0" fontId="0" fillId="0" borderId="0" xfId="149" applyFont="1" applyFill="1" applyBorder="1" applyAlignment="1">
      <alignment vertical="center"/>
      <protection/>
    </xf>
    <xf numFmtId="0" fontId="0" fillId="27" borderId="0" xfId="149" applyFont="1" applyFill="1" applyBorder="1" applyAlignment="1">
      <alignment vertical="center"/>
      <protection/>
    </xf>
    <xf numFmtId="0" fontId="36" fillId="28" borderId="0" xfId="0" applyFont="1" applyFill="1" applyBorder="1" applyAlignment="1">
      <alignment horizontal="center" vertical="center"/>
    </xf>
    <xf numFmtId="0" fontId="0" fillId="8" borderId="0" xfId="149" applyFont="1" applyFill="1" applyBorder="1" applyAlignment="1">
      <alignment vertical="center"/>
      <protection/>
    </xf>
    <xf numFmtId="0" fontId="6" fillId="0" borderId="0" xfId="149" applyFont="1" applyBorder="1">
      <alignment/>
      <protection/>
    </xf>
    <xf numFmtId="0" fontId="31" fillId="9" borderId="45" xfId="0" applyFont="1" applyFill="1" applyBorder="1" applyAlignment="1">
      <alignment horizontal="center"/>
    </xf>
    <xf numFmtId="0" fontId="31" fillId="9" borderId="32" xfId="0" applyFont="1" applyFill="1" applyBorder="1" applyAlignment="1">
      <alignment horizontal="center"/>
    </xf>
    <xf numFmtId="0" fontId="31" fillId="9" borderId="20" xfId="0" applyFont="1" applyFill="1" applyBorder="1" applyAlignment="1">
      <alignment/>
    </xf>
    <xf numFmtId="0" fontId="31" fillId="0" borderId="18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/>
    </xf>
    <xf numFmtId="3" fontId="31" fillId="0" borderId="17" xfId="0" applyNumberFormat="1" applyFont="1" applyFill="1" applyBorder="1" applyAlignment="1">
      <alignment horizontal="center"/>
    </xf>
    <xf numFmtId="3" fontId="31" fillId="0" borderId="1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0" fontId="1" fillId="8" borderId="0" xfId="154" applyFont="1" applyFill="1" applyBorder="1">
      <alignment/>
      <protection/>
    </xf>
    <xf numFmtId="0" fontId="1" fillId="0" borderId="0" xfId="153" applyFont="1" applyAlignment="1">
      <alignment vertical="center"/>
      <protection/>
    </xf>
    <xf numFmtId="171" fontId="1" fillId="8" borderId="0" xfId="154" applyNumberFormat="1" applyFont="1" applyFill="1" applyBorder="1">
      <alignment/>
      <protection/>
    </xf>
    <xf numFmtId="2" fontId="3" fillId="0" borderId="0" xfId="154" applyNumberFormat="1" applyFont="1" applyAlignment="1">
      <alignment horizontal="left"/>
      <protection/>
    </xf>
    <xf numFmtId="2" fontId="2" fillId="0" borderId="0" xfId="154" applyNumberFormat="1" applyFont="1" applyAlignment="1">
      <alignment horizontal="left"/>
      <protection/>
    </xf>
    <xf numFmtId="0" fontId="2" fillId="0" borderId="0" xfId="148" applyFont="1" applyAlignment="1">
      <alignment vertical="center"/>
      <protection/>
    </xf>
    <xf numFmtId="0" fontId="2" fillId="0" borderId="0" xfId="154" applyFont="1" applyAlignment="1">
      <alignment vertical="center"/>
      <protection/>
    </xf>
    <xf numFmtId="0" fontId="3" fillId="0" borderId="0" xfId="154" applyFont="1">
      <alignment/>
      <protection/>
    </xf>
    <xf numFmtId="0" fontId="2" fillId="0" borderId="0" xfId="154" applyFont="1">
      <alignment/>
      <protection/>
    </xf>
    <xf numFmtId="0" fontId="2" fillId="0" borderId="0" xfId="150" applyFont="1" applyAlignment="1">
      <alignment vertical="center"/>
      <protection/>
    </xf>
    <xf numFmtId="0" fontId="2" fillId="0" borderId="0" xfId="154" applyFont="1" applyAlignment="1">
      <alignment horizontal="center" vertical="center"/>
      <protection/>
    </xf>
    <xf numFmtId="49" fontId="2" fillId="0" borderId="0" xfId="154" applyNumberFormat="1" applyFont="1" applyAlignment="1">
      <alignment vertical="center"/>
      <protection/>
    </xf>
    <xf numFmtId="0" fontId="3" fillId="0" borderId="0" xfId="154" applyFont="1" applyAlignment="1">
      <alignment vertical="center"/>
      <protection/>
    </xf>
    <xf numFmtId="0" fontId="3" fillId="8" borderId="0" xfId="154" applyFont="1" applyFill="1" applyBorder="1">
      <alignment/>
      <protection/>
    </xf>
    <xf numFmtId="49" fontId="3" fillId="0" borderId="0" xfId="154" applyNumberFormat="1" applyFont="1" applyAlignment="1">
      <alignment horizontal="center" vertical="center" wrapText="1"/>
      <protection/>
    </xf>
    <xf numFmtId="10" fontId="3" fillId="0" borderId="0" xfId="159" applyNumberFormat="1" applyFont="1" applyAlignment="1">
      <alignment horizontal="right" vertical="center"/>
    </xf>
    <xf numFmtId="171" fontId="3" fillId="8" borderId="0" xfId="154" applyNumberFormat="1" applyFont="1" applyFill="1" applyBorder="1">
      <alignment/>
      <protection/>
    </xf>
    <xf numFmtId="49" fontId="3" fillId="0" borderId="0" xfId="154" applyNumberFormat="1" applyFont="1" applyAlignment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171" fontId="3" fillId="0" borderId="0" xfId="154" applyNumberFormat="1" applyFont="1" applyFill="1" applyAlignment="1">
      <alignment horizontal="right" vertical="center"/>
      <protection/>
    </xf>
    <xf numFmtId="170" fontId="1" fillId="8" borderId="0" xfId="154" applyNumberFormat="1" applyFont="1" applyFill="1" applyBorder="1">
      <alignment/>
      <protection/>
    </xf>
    <xf numFmtId="165" fontId="0" fillId="0" borderId="17" xfId="163" applyNumberFormat="1" applyFont="1" applyBorder="1" applyAlignment="1">
      <alignment horizontal="right" vertical="center"/>
    </xf>
    <xf numFmtId="165" fontId="0" fillId="0" borderId="17" xfId="163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vertical="center"/>
    </xf>
    <xf numFmtId="165" fontId="4" fillId="0" borderId="0" xfId="163" applyNumberFormat="1" applyFont="1" applyAlignment="1">
      <alignment vertical="center"/>
    </xf>
    <xf numFmtId="172" fontId="4" fillId="0" borderId="0" xfId="163" applyNumberFormat="1" applyFont="1" applyAlignment="1">
      <alignment vertical="center"/>
    </xf>
    <xf numFmtId="167" fontId="0" fillId="0" borderId="0" xfId="0" applyNumberFormat="1" applyFont="1" applyBorder="1" applyAlignment="1">
      <alignment vertical="center"/>
    </xf>
    <xf numFmtId="167" fontId="0" fillId="0" borderId="0" xfId="163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12" fillId="0" borderId="0" xfId="163" applyNumberFormat="1" applyFont="1" applyBorder="1" applyAlignment="1">
      <alignment vertical="center"/>
    </xf>
    <xf numFmtId="165" fontId="12" fillId="0" borderId="0" xfId="163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vertical="center"/>
    </xf>
    <xf numFmtId="169" fontId="3" fillId="8" borderId="0" xfId="154" applyNumberFormat="1" applyFont="1" applyFill="1" applyBorder="1">
      <alignment/>
      <protection/>
    </xf>
    <xf numFmtId="175" fontId="3" fillId="8" borderId="0" xfId="154" applyNumberFormat="1" applyFont="1" applyFill="1" applyBorder="1">
      <alignment/>
      <protection/>
    </xf>
    <xf numFmtId="168" fontId="31" fillId="9" borderId="4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69" fontId="0" fillId="0" borderId="17" xfId="163" applyNumberFormat="1" applyFont="1" applyBorder="1" applyAlignment="1">
      <alignment horizontal="left"/>
    </xf>
    <xf numFmtId="2" fontId="31" fillId="0" borderId="16" xfId="0" applyNumberFormat="1" applyFont="1" applyBorder="1" applyAlignment="1">
      <alignment horizontal="center"/>
    </xf>
    <xf numFmtId="0" fontId="31" fillId="9" borderId="20" xfId="0" applyFont="1" applyFill="1" applyBorder="1" applyAlignment="1">
      <alignment horizontal="center"/>
    </xf>
    <xf numFmtId="0" fontId="26" fillId="0" borderId="0" xfId="149" applyFont="1" applyFill="1" applyBorder="1" applyAlignment="1">
      <alignment horizontal="center" vertical="center"/>
      <protection/>
    </xf>
    <xf numFmtId="0" fontId="6" fillId="0" borderId="0" xfId="149" applyFont="1">
      <alignment/>
      <protection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2" fillId="15" borderId="42" xfId="0" applyNumberFormat="1" applyFont="1" applyFill="1" applyBorder="1" applyAlignment="1">
      <alignment horizontal="centerContinuous"/>
    </xf>
    <xf numFmtId="2" fontId="2" fillId="15" borderId="43" xfId="0" applyNumberFormat="1" applyFont="1" applyFill="1" applyBorder="1" applyAlignment="1">
      <alignment horizontal="centerContinuous"/>
    </xf>
    <xf numFmtId="0" fontId="2" fillId="15" borderId="42" xfId="0" applyFont="1" applyFill="1" applyBorder="1" applyAlignment="1">
      <alignment horizontal="centerContinuous"/>
    </xf>
    <xf numFmtId="0" fontId="2" fillId="15" borderId="43" xfId="0" applyFont="1" applyFill="1" applyBorder="1" applyAlignment="1">
      <alignment horizontal="centerContinuous"/>
    </xf>
    <xf numFmtId="2" fontId="1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5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2" fillId="15" borderId="41" xfId="0" applyNumberFormat="1" applyFont="1" applyFill="1" applyBorder="1" applyAlignment="1">
      <alignment horizontal="center"/>
    </xf>
    <xf numFmtId="0" fontId="3" fillId="15" borderId="42" xfId="0" applyFont="1" applyFill="1" applyBorder="1" applyAlignment="1">
      <alignment/>
    </xf>
    <xf numFmtId="0" fontId="3" fillId="15" borderId="45" xfId="0" applyFont="1" applyFill="1" applyBorder="1" applyAlignment="1">
      <alignment/>
    </xf>
    <xf numFmtId="2" fontId="2" fillId="15" borderId="0" xfId="0" applyNumberFormat="1" applyFont="1" applyFill="1" applyBorder="1" applyAlignment="1">
      <alignment horizontal="centerContinuous"/>
    </xf>
    <xf numFmtId="1" fontId="2" fillId="15" borderId="40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Continuous"/>
    </xf>
    <xf numFmtId="16" fontId="4" fillId="4" borderId="17" xfId="0" applyNumberFormat="1" applyFont="1" applyFill="1" applyBorder="1" applyAlignment="1">
      <alignment horizontal="center" vertical="center"/>
    </xf>
    <xf numFmtId="165" fontId="4" fillId="0" borderId="17" xfId="163" applyNumberFormat="1" applyFont="1" applyBorder="1" applyAlignment="1">
      <alignment horizontal="right" vertical="center"/>
    </xf>
    <xf numFmtId="173" fontId="0" fillId="0" borderId="17" xfId="163" applyNumberFormat="1" applyFont="1" applyFill="1" applyBorder="1" applyAlignment="1" applyProtection="1">
      <alignment horizontal="right" vertical="center"/>
      <protection/>
    </xf>
    <xf numFmtId="173" fontId="0" fillId="0" borderId="17" xfId="163" applyNumberFormat="1" applyFont="1" applyFill="1" applyBorder="1" applyAlignment="1" applyProtection="1">
      <alignment vertical="center"/>
      <protection/>
    </xf>
    <xf numFmtId="173" fontId="0" fillId="29" borderId="17" xfId="163" applyNumberFormat="1" applyFont="1" applyFill="1" applyBorder="1" applyAlignment="1" applyProtection="1">
      <alignment horizontal="right" vertical="center"/>
      <protection/>
    </xf>
    <xf numFmtId="173" fontId="0" fillId="8" borderId="17" xfId="163" applyNumberFormat="1" applyFont="1" applyFill="1" applyBorder="1" applyAlignment="1" applyProtection="1">
      <alignment horizontal="right" vertical="center"/>
      <protection/>
    </xf>
    <xf numFmtId="173" fontId="4" fillId="0" borderId="17" xfId="163" applyNumberFormat="1" applyFont="1" applyFill="1" applyBorder="1" applyAlignment="1" applyProtection="1">
      <alignment horizontal="right" vertical="center"/>
      <protection/>
    </xf>
    <xf numFmtId="173" fontId="4" fillId="8" borderId="17" xfId="163" applyNumberFormat="1" applyFont="1" applyFill="1" applyBorder="1" applyAlignment="1" applyProtection="1">
      <alignment horizontal="right" vertical="center"/>
      <protection/>
    </xf>
    <xf numFmtId="49" fontId="56" fillId="4" borderId="18" xfId="153" applyNumberFormat="1" applyFont="1" applyFill="1" applyBorder="1" applyAlignment="1">
      <alignment horizontal="center" vertical="center" wrapText="1"/>
      <protection/>
    </xf>
    <xf numFmtId="49" fontId="56" fillId="4" borderId="17" xfId="153" applyNumberFormat="1" applyFont="1" applyFill="1" applyBorder="1" applyAlignment="1">
      <alignment horizontal="center" vertical="center" wrapText="1"/>
      <protection/>
    </xf>
    <xf numFmtId="49" fontId="57" fillId="0" borderId="0" xfId="154" applyNumberFormat="1" applyFont="1" applyFill="1" applyAlignment="1">
      <alignment horizontal="left" vertical="center" indent="1"/>
      <protection/>
    </xf>
    <xf numFmtId="169" fontId="57" fillId="0" borderId="0" xfId="163" applyNumberFormat="1" applyFont="1" applyAlignment="1">
      <alignment/>
    </xf>
    <xf numFmtId="170" fontId="57" fillId="0" borderId="0" xfId="159" applyNumberFormat="1" applyFont="1" applyFill="1" applyAlignment="1">
      <alignment horizontal="right" vertical="center"/>
    </xf>
    <xf numFmtId="49" fontId="56" fillId="0" borderId="0" xfId="154" applyNumberFormat="1" applyFont="1" applyFill="1" applyAlignment="1">
      <alignment horizontal="left" vertical="center" indent="1"/>
      <protection/>
    </xf>
    <xf numFmtId="171" fontId="56" fillId="0" borderId="0" xfId="154" applyNumberFormat="1" applyFont="1" applyFill="1" applyAlignment="1">
      <alignment horizontal="right" vertical="center"/>
      <protection/>
    </xf>
    <xf numFmtId="170" fontId="56" fillId="0" borderId="0" xfId="159" applyNumberFormat="1" applyFont="1" applyFill="1" applyAlignment="1">
      <alignment horizontal="right" vertical="center"/>
    </xf>
    <xf numFmtId="49" fontId="58" fillId="4" borderId="17" xfId="154" applyNumberFormat="1" applyFont="1" applyFill="1" applyBorder="1" applyAlignment="1">
      <alignment horizontal="left" vertical="center" indent="1"/>
      <protection/>
    </xf>
    <xf numFmtId="171" fontId="58" fillId="4" borderId="17" xfId="154" applyNumberFormat="1" applyFont="1" applyFill="1" applyBorder="1" applyAlignment="1">
      <alignment vertical="center"/>
      <protection/>
    </xf>
    <xf numFmtId="170" fontId="56" fillId="4" borderId="17" xfId="159" applyNumberFormat="1" applyFont="1" applyFill="1" applyBorder="1" applyAlignment="1">
      <alignment horizontal="right" vertical="center"/>
    </xf>
    <xf numFmtId="0" fontId="57" fillId="8" borderId="0" xfId="154" applyFont="1" applyFill="1" applyBorder="1">
      <alignment/>
      <protection/>
    </xf>
    <xf numFmtId="2" fontId="31" fillId="9" borderId="18" xfId="0" applyNumberFormat="1" applyFont="1" applyFill="1" applyBorder="1" applyAlignment="1">
      <alignment horizontal="center"/>
    </xf>
    <xf numFmtId="2" fontId="31" fillId="9" borderId="17" xfId="0" applyNumberFormat="1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" fontId="4" fillId="0" borderId="17" xfId="163" applyNumberFormat="1" applyFont="1" applyBorder="1" applyAlignment="1">
      <alignment horizontal="center" vertical="center"/>
    </xf>
    <xf numFmtId="173" fontId="0" fillId="8" borderId="17" xfId="163" applyNumberFormat="1" applyFont="1" applyFill="1" applyBorder="1" applyAlignment="1" applyProtection="1">
      <alignment horizontal="left" vertical="center"/>
      <protection/>
    </xf>
    <xf numFmtId="169" fontId="0" fillId="0" borderId="17" xfId="163" applyNumberFormat="1" applyFont="1" applyBorder="1" applyAlignment="1">
      <alignment horizontal="right" vertical="center"/>
    </xf>
    <xf numFmtId="4" fontId="0" fillId="0" borderId="17" xfId="163" applyNumberFormat="1" applyFont="1" applyBorder="1" applyAlignment="1">
      <alignment horizontal="center" vertical="center"/>
    </xf>
    <xf numFmtId="173" fontId="0" fillId="8" borderId="17" xfId="163" applyNumberFormat="1" applyFont="1" applyFill="1" applyBorder="1" applyAlignment="1" applyProtection="1">
      <alignment vertical="center"/>
      <protection/>
    </xf>
    <xf numFmtId="165" fontId="4" fillId="0" borderId="17" xfId="163" applyNumberFormat="1" applyFont="1" applyBorder="1" applyAlignment="1">
      <alignment vertical="center"/>
    </xf>
    <xf numFmtId="169" fontId="4" fillId="0" borderId="17" xfId="163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3" fontId="4" fillId="4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0" fillId="0" borderId="17" xfId="163" applyNumberFormat="1" applyFont="1" applyBorder="1" applyAlignment="1">
      <alignment horizontal="left" vertical="center"/>
    </xf>
    <xf numFmtId="169" fontId="0" fillId="0" borderId="17" xfId="163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4" fillId="7" borderId="17" xfId="0" applyFont="1" applyFill="1" applyBorder="1" applyAlignment="1">
      <alignment horizontal="center" vertical="center" wrapText="1"/>
    </xf>
    <xf numFmtId="4" fontId="4" fillId="7" borderId="17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vertical="center"/>
    </xf>
    <xf numFmtId="0" fontId="0" fillId="4" borderId="45" xfId="0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4" fontId="4" fillId="4" borderId="20" xfId="163" applyNumberFormat="1" applyFont="1" applyFill="1" applyBorder="1" applyAlignment="1">
      <alignment horizontal="center" vertical="center"/>
    </xf>
    <xf numFmtId="0" fontId="4" fillId="26" borderId="0" xfId="0" applyFont="1" applyFill="1" applyAlignment="1">
      <alignment/>
    </xf>
    <xf numFmtId="0" fontId="0" fillId="0" borderId="31" xfId="0" applyFont="1" applyBorder="1" applyAlignment="1">
      <alignment/>
    </xf>
    <xf numFmtId="169" fontId="3" fillId="0" borderId="17" xfId="163" applyNumberFormat="1" applyFont="1" applyBorder="1" applyAlignment="1">
      <alignment horizontal="left"/>
    </xf>
    <xf numFmtId="176" fontId="3" fillId="0" borderId="0" xfId="163" applyNumberFormat="1" applyFont="1" applyAlignment="1">
      <alignment/>
    </xf>
    <xf numFmtId="169" fontId="4" fillId="7" borderId="20" xfId="163" applyNumberFormat="1" applyFont="1" applyFill="1" applyBorder="1" applyAlignment="1">
      <alignment horizontal="center" vertical="center"/>
    </xf>
    <xf numFmtId="167" fontId="4" fillId="7" borderId="17" xfId="0" applyNumberFormat="1" applyFont="1" applyFill="1" applyBorder="1" applyAlignment="1">
      <alignment horizontal="center" vertical="center"/>
    </xf>
    <xf numFmtId="169" fontId="4" fillId="7" borderId="17" xfId="163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167" fontId="0" fillId="0" borderId="22" xfId="163" applyFont="1" applyBorder="1" applyAlignment="1">
      <alignment horizontal="center"/>
    </xf>
    <xf numFmtId="0" fontId="69" fillId="0" borderId="0" xfId="131" applyFont="1" applyBorder="1" applyAlignment="1">
      <alignment/>
    </xf>
    <xf numFmtId="167" fontId="0" fillId="0" borderId="0" xfId="163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49" fontId="4" fillId="4" borderId="20" xfId="0" applyNumberFormat="1" applyFont="1" applyFill="1" applyBorder="1" applyAlignment="1">
      <alignment horizontal="center"/>
    </xf>
    <xf numFmtId="0" fontId="0" fillId="0" borderId="0" xfId="151" applyFont="1">
      <alignment/>
      <protection/>
    </xf>
    <xf numFmtId="0" fontId="4" fillId="0" borderId="0" xfId="151" applyFont="1" applyAlignment="1">
      <alignment horizontal="center"/>
      <protection/>
    </xf>
    <xf numFmtId="0" fontId="4" fillId="26" borderId="17" xfId="151" applyFont="1" applyFill="1" applyBorder="1" applyAlignment="1">
      <alignment horizontal="center" vertical="center"/>
      <protection/>
    </xf>
    <xf numFmtId="177" fontId="0" fillId="0" borderId="17" xfId="167" applyNumberFormat="1" applyFont="1" applyBorder="1" applyAlignment="1">
      <alignment/>
    </xf>
    <xf numFmtId="0" fontId="3" fillId="0" borderId="0" xfId="151" applyFont="1">
      <alignment/>
      <protection/>
    </xf>
    <xf numFmtId="177" fontId="0" fillId="0" borderId="0" xfId="151" applyNumberFormat="1" applyFont="1">
      <alignment/>
      <protection/>
    </xf>
    <xf numFmtId="0" fontId="2" fillId="0" borderId="0" xfId="151" applyFont="1" applyFill="1" applyBorder="1">
      <alignment/>
      <protection/>
    </xf>
    <xf numFmtId="0" fontId="4" fillId="0" borderId="0" xfId="151" applyFont="1" applyFill="1" applyBorder="1">
      <alignment/>
      <protection/>
    </xf>
    <xf numFmtId="177" fontId="0" fillId="0" borderId="17" xfId="163" applyNumberFormat="1" applyFont="1" applyBorder="1" applyAlignment="1">
      <alignment/>
    </xf>
    <xf numFmtId="1" fontId="0" fillId="0" borderId="0" xfId="0" applyNumberFormat="1" applyFont="1" applyAlignment="1">
      <alignment/>
    </xf>
    <xf numFmtId="167" fontId="0" fillId="8" borderId="17" xfId="163" applyNumberFormat="1" applyFont="1" applyFill="1" applyBorder="1" applyAlignment="1" quotePrefix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3" fontId="4" fillId="7" borderId="17" xfId="0" applyNumberFormat="1" applyFont="1" applyFill="1" applyBorder="1" applyAlignment="1">
      <alignment horizontal="center" vertical="center" wrapText="1"/>
    </xf>
    <xf numFmtId="167" fontId="4" fillId="7" borderId="17" xfId="163" applyNumberFormat="1" applyFont="1" applyFill="1" applyBorder="1" applyAlignment="1" quotePrefix="1">
      <alignment horizontal="center" vertical="center"/>
    </xf>
    <xf numFmtId="4" fontId="4" fillId="7" borderId="17" xfId="0" applyNumberFormat="1" applyFont="1" applyFill="1" applyBorder="1" applyAlignment="1">
      <alignment horizontal="center" vertical="center"/>
    </xf>
    <xf numFmtId="1" fontId="4" fillId="15" borderId="17" xfId="0" applyNumberFormat="1" applyFont="1" applyFill="1" applyBorder="1" applyAlignment="1">
      <alignment horizontal="center" vertical="center"/>
    </xf>
    <xf numFmtId="3" fontId="4" fillId="15" borderId="17" xfId="0" applyNumberFormat="1" applyFont="1" applyFill="1" applyBorder="1" applyAlignment="1">
      <alignment horizontal="center" vertical="center"/>
    </xf>
    <xf numFmtId="2" fontId="4" fillId="15" borderId="17" xfId="0" applyNumberFormat="1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30" fillId="9" borderId="18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11" borderId="32" xfId="151" applyFont="1" applyFill="1" applyBorder="1" applyAlignment="1">
      <alignment horizontal="center" vertical="center"/>
      <protection/>
    </xf>
    <xf numFmtId="0" fontId="4" fillId="11" borderId="17" xfId="151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167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7" fontId="4" fillId="0" borderId="18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0" fontId="4" fillId="0" borderId="31" xfId="0" applyFont="1" applyFill="1" applyBorder="1" applyAlignment="1">
      <alignment horizontal="left" vertical="center"/>
    </xf>
    <xf numFmtId="169" fontId="4" fillId="0" borderId="22" xfId="163" applyNumberFormat="1" applyFont="1" applyFill="1" applyBorder="1" applyAlignment="1">
      <alignment horizontal="left" vertical="center"/>
    </xf>
    <xf numFmtId="169" fontId="4" fillId="0" borderId="18" xfId="0" applyNumberFormat="1" applyFont="1" applyBorder="1" applyAlignment="1" quotePrefix="1">
      <alignment horizontal="left" vertical="center"/>
    </xf>
    <xf numFmtId="169" fontId="4" fillId="0" borderId="18" xfId="0" applyNumberFormat="1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left"/>
    </xf>
    <xf numFmtId="0" fontId="2" fillId="8" borderId="41" xfId="0" applyFont="1" applyFill="1" applyBorder="1" applyAlignment="1">
      <alignment horizontal="left"/>
    </xf>
    <xf numFmtId="0" fontId="4" fillId="8" borderId="41" xfId="0" applyFont="1" applyFill="1" applyBorder="1" applyAlignment="1">
      <alignment horizontal="left"/>
    </xf>
    <xf numFmtId="167" fontId="4" fillId="0" borderId="20" xfId="0" applyNumberFormat="1" applyFont="1" applyFill="1" applyBorder="1" applyAlignment="1">
      <alignment horizontal="center" vertical="center" wrapText="1"/>
    </xf>
    <xf numFmtId="169" fontId="4" fillId="0" borderId="20" xfId="0" applyNumberFormat="1" applyFont="1" applyFill="1" applyBorder="1" applyAlignment="1">
      <alignment horizontal="center" vertical="center" wrapText="1"/>
    </xf>
    <xf numFmtId="169" fontId="4" fillId="0" borderId="17" xfId="0" applyNumberFormat="1" applyFont="1" applyFill="1" applyBorder="1" applyAlignment="1">
      <alignment vertical="center"/>
    </xf>
    <xf numFmtId="169" fontId="4" fillId="0" borderId="18" xfId="0" applyNumberFormat="1" applyFont="1" applyFill="1" applyBorder="1" applyAlignment="1">
      <alignment vertical="center"/>
    </xf>
    <xf numFmtId="167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" fontId="72" fillId="0" borderId="0" xfId="0" applyNumberFormat="1" applyFont="1" applyAlignment="1">
      <alignment/>
    </xf>
    <xf numFmtId="168" fontId="31" fillId="9" borderId="40" xfId="0" applyNumberFormat="1" applyFont="1" applyFill="1" applyBorder="1" applyAlignment="1">
      <alignment horizontal="center" vertical="center"/>
    </xf>
    <xf numFmtId="168" fontId="31" fillId="9" borderId="45" xfId="0" applyNumberFormat="1" applyFont="1" applyFill="1" applyBorder="1" applyAlignment="1">
      <alignment horizontal="center" vertical="center"/>
    </xf>
    <xf numFmtId="2" fontId="31" fillId="9" borderId="40" xfId="0" applyNumberFormat="1" applyFont="1" applyFill="1" applyBorder="1" applyAlignment="1">
      <alignment horizontal="center" vertical="center"/>
    </xf>
    <xf numFmtId="2" fontId="31" fillId="9" borderId="46" xfId="0" applyNumberFormat="1" applyFont="1" applyFill="1" applyBorder="1" applyAlignment="1">
      <alignment horizontal="center" vertical="center"/>
    </xf>
    <xf numFmtId="0" fontId="12" fillId="0" borderId="14" xfId="149" applyFont="1" applyFill="1" applyBorder="1" applyAlignment="1">
      <alignment horizontal="center" vertical="center"/>
      <protection/>
    </xf>
    <xf numFmtId="0" fontId="26" fillId="4" borderId="0" xfId="149" applyFont="1" applyFill="1" applyBorder="1" applyAlignment="1">
      <alignment horizontal="center" vertical="center"/>
      <protection/>
    </xf>
    <xf numFmtId="0" fontId="31" fillId="0" borderId="0" xfId="149" applyFont="1" applyFill="1" applyBorder="1" applyAlignment="1">
      <alignment horizontal="center" vertical="center"/>
      <protection/>
    </xf>
    <xf numFmtId="0" fontId="35" fillId="28" borderId="0" xfId="0" applyFont="1" applyFill="1" applyBorder="1" applyAlignment="1">
      <alignment horizontal="center" vertical="center"/>
    </xf>
    <xf numFmtId="0" fontId="25" fillId="11" borderId="0" xfId="0" applyFont="1" applyFill="1" applyAlignment="1">
      <alignment horizontal="center"/>
    </xf>
    <xf numFmtId="0" fontId="25" fillId="11" borderId="16" xfId="0" applyFont="1" applyFill="1" applyBorder="1" applyAlignment="1">
      <alignment horizontal="center" vertical="center"/>
    </xf>
    <xf numFmtId="0" fontId="25" fillId="11" borderId="32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6" fontId="9" fillId="0" borderId="15" xfId="139" applyFont="1" applyBorder="1" applyAlignment="1">
      <alignment horizontal="center"/>
    </xf>
    <xf numFmtId="166" fontId="9" fillId="0" borderId="0" xfId="139" applyFont="1" applyBorder="1" applyAlignment="1">
      <alignment horizontal="center"/>
    </xf>
    <xf numFmtId="166" fontId="9" fillId="0" borderId="14" xfId="139" applyFont="1" applyBorder="1" applyAlignment="1">
      <alignment horizontal="center"/>
    </xf>
    <xf numFmtId="0" fontId="21" fillId="28" borderId="15" xfId="0" applyFont="1" applyFill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21" fillId="28" borderId="14" xfId="0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0" fontId="12" fillId="0" borderId="15" xfId="149" applyFont="1" applyFill="1" applyBorder="1" applyAlignment="1">
      <alignment horizontal="center" vertical="center"/>
      <protection/>
    </xf>
    <xf numFmtId="0" fontId="12" fillId="0" borderId="0" xfId="149" applyFont="1" applyFill="1" applyBorder="1" applyAlignment="1">
      <alignment horizontal="center" vertical="center"/>
      <protection/>
    </xf>
    <xf numFmtId="168" fontId="31" fillId="9" borderId="16" xfId="0" applyNumberFormat="1" applyFont="1" applyFill="1" applyBorder="1" applyAlignment="1">
      <alignment horizontal="center" vertical="center"/>
    </xf>
    <xf numFmtId="168" fontId="31" fillId="9" borderId="32" xfId="0" applyNumberFormat="1" applyFont="1" applyFill="1" applyBorder="1" applyAlignment="1">
      <alignment horizontal="center" vertical="center"/>
    </xf>
    <xf numFmtId="0" fontId="31" fillId="9" borderId="16" xfId="0" applyFont="1" applyFill="1" applyBorder="1" applyAlignment="1">
      <alignment horizontal="center" vertical="center"/>
    </xf>
    <xf numFmtId="0" fontId="31" fillId="9" borderId="47" xfId="0" applyFont="1" applyFill="1" applyBorder="1" applyAlignment="1">
      <alignment horizontal="center" vertical="center"/>
    </xf>
    <xf numFmtId="0" fontId="31" fillId="9" borderId="40" xfId="0" applyFont="1" applyFill="1" applyBorder="1" applyAlignment="1">
      <alignment horizontal="center" vertical="center"/>
    </xf>
    <xf numFmtId="0" fontId="31" fillId="9" borderId="46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4" fillId="26" borderId="51" xfId="0" applyFont="1" applyFill="1" applyBorder="1" applyAlignment="1">
      <alignment horizontal="center" vertical="center"/>
    </xf>
    <xf numFmtId="0" fontId="4" fillId="26" borderId="52" xfId="0" applyFont="1" applyFill="1" applyBorder="1" applyAlignment="1">
      <alignment horizontal="center" vertical="center"/>
    </xf>
    <xf numFmtId="0" fontId="4" fillId="26" borderId="53" xfId="0" applyFont="1" applyFill="1" applyBorder="1" applyAlignment="1">
      <alignment horizontal="center" vertical="center"/>
    </xf>
    <xf numFmtId="14" fontId="8" fillId="4" borderId="17" xfId="0" applyNumberFormat="1" applyFont="1" applyFill="1" applyBorder="1" applyAlignment="1">
      <alignment horizontal="center" vertical="center"/>
    </xf>
    <xf numFmtId="14" fontId="8" fillId="4" borderId="34" xfId="0" applyNumberFormat="1" applyFont="1" applyFill="1" applyBorder="1" applyAlignment="1">
      <alignment horizontal="center" vertical="center"/>
    </xf>
    <xf numFmtId="14" fontId="8" fillId="0" borderId="32" xfId="0" applyNumberFormat="1" applyFont="1" applyFill="1" applyBorder="1" applyAlignment="1">
      <alignment vertical="center"/>
    </xf>
    <xf numFmtId="14" fontId="8" fillId="0" borderId="33" xfId="0" applyNumberFormat="1" applyFont="1" applyFill="1" applyBorder="1" applyAlignment="1">
      <alignment vertical="center"/>
    </xf>
    <xf numFmtId="14" fontId="8" fillId="0" borderId="17" xfId="0" applyNumberFormat="1" applyFont="1" applyFill="1" applyBorder="1" applyAlignment="1">
      <alignment vertical="center"/>
    </xf>
    <xf numFmtId="14" fontId="8" fillId="0" borderId="34" xfId="0" applyNumberFormat="1" applyFont="1" applyFill="1" applyBorder="1" applyAlignment="1">
      <alignment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14" fontId="8" fillId="4" borderId="37" xfId="0" applyNumberFormat="1" applyFont="1" applyFill="1" applyBorder="1" applyAlignment="1">
      <alignment horizontal="center" vertical="center"/>
    </xf>
    <xf numFmtId="14" fontId="8" fillId="4" borderId="38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7" fontId="4" fillId="0" borderId="21" xfId="0" applyNumberFormat="1" applyFont="1" applyFill="1" applyBorder="1" applyAlignment="1">
      <alignment horizontal="center" vertical="center" wrapText="1"/>
    </xf>
    <xf numFmtId="167" fontId="4" fillId="0" borderId="22" xfId="0" applyNumberFormat="1" applyFont="1" applyFill="1" applyBorder="1" applyAlignment="1">
      <alignment horizontal="center" vertical="center" wrapText="1"/>
    </xf>
    <xf numFmtId="167" fontId="4" fillId="0" borderId="20" xfId="0" applyNumberFormat="1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 vertical="center"/>
    </xf>
    <xf numFmtId="167" fontId="4" fillId="0" borderId="19" xfId="0" applyNumberFormat="1" applyFont="1" applyFill="1" applyBorder="1" applyAlignment="1">
      <alignment horizontal="center" vertical="center"/>
    </xf>
    <xf numFmtId="0" fontId="4" fillId="11" borderId="16" xfId="151" applyFont="1" applyFill="1" applyBorder="1" applyAlignment="1">
      <alignment horizontal="center" vertical="center"/>
      <protection/>
    </xf>
    <xf numFmtId="0" fontId="4" fillId="11" borderId="32" xfId="151" applyFont="1" applyFill="1" applyBorder="1" applyAlignment="1">
      <alignment horizontal="center" vertical="center"/>
      <protection/>
    </xf>
    <xf numFmtId="2" fontId="4" fillId="0" borderId="0" xfId="15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151" applyFont="1" applyAlignment="1">
      <alignment horizontal="center"/>
      <protection/>
    </xf>
    <xf numFmtId="0" fontId="4" fillId="11" borderId="18" xfId="151" applyFont="1" applyFill="1" applyBorder="1" applyAlignment="1">
      <alignment horizontal="center" vertical="center"/>
      <protection/>
    </xf>
    <xf numFmtId="0" fontId="4" fillId="11" borderId="19" xfId="151" applyFont="1" applyFill="1" applyBorder="1" applyAlignment="1">
      <alignment horizontal="center" vertical="center"/>
      <protection/>
    </xf>
    <xf numFmtId="0" fontId="4" fillId="11" borderId="20" xfId="151" applyFont="1" applyFill="1" applyBorder="1" applyAlignment="1">
      <alignment horizontal="center" vertical="center"/>
      <protection/>
    </xf>
    <xf numFmtId="0" fontId="4" fillId="26" borderId="16" xfId="151" applyFont="1" applyFill="1" applyBorder="1" applyAlignment="1">
      <alignment horizontal="center" vertical="center" wrapText="1"/>
      <protection/>
    </xf>
    <xf numFmtId="0" fontId="4" fillId="26" borderId="32" xfId="15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2" fontId="2" fillId="15" borderId="45" xfId="0" applyNumberFormat="1" applyFont="1" applyFill="1" applyBorder="1" applyAlignment="1">
      <alignment horizontal="center"/>
    </xf>
    <xf numFmtId="2" fontId="2" fillId="15" borderId="31" xfId="0" applyNumberFormat="1" applyFont="1" applyFill="1" applyBorder="1" applyAlignment="1">
      <alignment horizontal="center"/>
    </xf>
    <xf numFmtId="0" fontId="2" fillId="15" borderId="45" xfId="0" applyFont="1" applyFill="1" applyBorder="1" applyAlignment="1">
      <alignment horizontal="center"/>
    </xf>
    <xf numFmtId="0" fontId="2" fillId="15" borderId="31" xfId="0" applyFont="1" applyFill="1" applyBorder="1" applyAlignment="1">
      <alignment horizont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0" xfId="0" applyNumberFormat="1" applyFont="1" applyFill="1" applyBorder="1" applyAlignment="1">
      <alignment horizontal="center"/>
    </xf>
    <xf numFmtId="2" fontId="2" fillId="15" borderId="42" xfId="0" applyNumberFormat="1" applyFont="1" applyFill="1" applyBorder="1" applyAlignment="1">
      <alignment horizontal="center"/>
    </xf>
    <xf numFmtId="2" fontId="2" fillId="15" borderId="43" xfId="0" applyNumberFormat="1" applyFont="1" applyFill="1" applyBorder="1" applyAlignment="1">
      <alignment horizontal="center"/>
    </xf>
    <xf numFmtId="0" fontId="59" fillId="0" borderId="0" xfId="133" applyFont="1" applyBorder="1" applyAlignment="1">
      <alignment horizontal="left" vertical="center"/>
    </xf>
    <xf numFmtId="49" fontId="56" fillId="4" borderId="40" xfId="153" applyNumberFormat="1" applyFont="1" applyFill="1" applyBorder="1" applyAlignment="1">
      <alignment horizontal="center" vertical="center" wrapText="1"/>
      <protection/>
    </xf>
    <xf numFmtId="49" fontId="56" fillId="4" borderId="45" xfId="153" applyNumberFormat="1" applyFont="1" applyFill="1" applyBorder="1" applyAlignment="1">
      <alignment horizontal="center" vertical="center" wrapText="1"/>
      <protection/>
    </xf>
    <xf numFmtId="49" fontId="2" fillId="4" borderId="18" xfId="153" applyNumberFormat="1" applyFont="1" applyFill="1" applyBorder="1" applyAlignment="1">
      <alignment horizontal="center" vertical="center" wrapText="1"/>
      <protection/>
    </xf>
    <xf numFmtId="49" fontId="2" fillId="4" borderId="19" xfId="153" applyNumberFormat="1" applyFont="1" applyFill="1" applyBorder="1" applyAlignment="1">
      <alignment horizontal="center" vertical="center" wrapText="1"/>
      <protection/>
    </xf>
    <xf numFmtId="49" fontId="56" fillId="4" borderId="21" xfId="153" applyNumberFormat="1" applyFont="1" applyFill="1" applyBorder="1" applyAlignment="1">
      <alignment horizontal="center" vertical="center" wrapText="1"/>
      <protection/>
    </xf>
    <xf numFmtId="49" fontId="56" fillId="4" borderId="41" xfId="153" applyNumberFormat="1" applyFont="1" applyFill="1" applyBorder="1" applyAlignment="1">
      <alignment horizontal="center" vertical="center" wrapText="1"/>
      <protection/>
    </xf>
    <xf numFmtId="49" fontId="56" fillId="4" borderId="22" xfId="153" applyNumberFormat="1" applyFont="1" applyFill="1" applyBorder="1" applyAlignment="1">
      <alignment horizontal="center" vertical="center" wrapText="1"/>
      <protection/>
    </xf>
    <xf numFmtId="49" fontId="56" fillId="4" borderId="31" xfId="153" applyNumberFormat="1" applyFont="1" applyFill="1" applyBorder="1" applyAlignment="1">
      <alignment horizontal="center" vertical="center" wrapText="1"/>
      <protection/>
    </xf>
    <xf numFmtId="3" fontId="12" fillId="0" borderId="0" xfId="0" applyNumberFormat="1" applyFont="1" applyAlignment="1">
      <alignment horizontal="center"/>
    </xf>
    <xf numFmtId="0" fontId="4" fillId="15" borderId="16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17" fontId="4" fillId="15" borderId="17" xfId="0" applyNumberFormat="1" applyFont="1" applyFill="1" applyBorder="1" applyAlignment="1">
      <alignment horizontal="center" vertical="center"/>
    </xf>
    <xf numFmtId="0" fontId="4" fillId="15" borderId="17" xfId="0" applyNumberFormat="1" applyFont="1" applyFill="1" applyBorder="1" applyAlignment="1">
      <alignment horizontal="center" vertical="center"/>
    </xf>
    <xf numFmtId="1" fontId="4" fillId="15" borderId="17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6" fillId="15" borderId="40" xfId="0" applyFont="1" applyFill="1" applyBorder="1" applyAlignment="1">
      <alignment horizontal="center"/>
    </xf>
    <xf numFmtId="0" fontId="16" fillId="15" borderId="21" xfId="0" applyFont="1" applyFill="1" applyBorder="1" applyAlignment="1">
      <alignment horizontal="center"/>
    </xf>
    <xf numFmtId="0" fontId="16" fillId="15" borderId="41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15" borderId="44" xfId="0" applyFont="1" applyFill="1" applyBorder="1" applyAlignment="1">
      <alignment horizontal="center"/>
    </xf>
    <xf numFmtId="17" fontId="4" fillId="15" borderId="20" xfId="0" applyNumberFormat="1" applyFont="1" applyFill="1" applyBorder="1" applyAlignment="1">
      <alignment horizontal="center"/>
    </xf>
    <xf numFmtId="0" fontId="4" fillId="15" borderId="17" xfId="0" applyNumberFormat="1" applyFont="1" applyFill="1" applyBorder="1" applyAlignment="1">
      <alignment horizontal="center"/>
    </xf>
    <xf numFmtId="1" fontId="4" fillId="15" borderId="17" xfId="0" applyNumberFormat="1" applyFont="1" applyFill="1" applyBorder="1" applyAlignment="1">
      <alignment horizontal="center"/>
    </xf>
    <xf numFmtId="17" fontId="4" fillId="15" borderId="18" xfId="0" applyNumberFormat="1" applyFont="1" applyFill="1" applyBorder="1" applyAlignment="1">
      <alignment horizontal="center"/>
    </xf>
    <xf numFmtId="0" fontId="4" fillId="15" borderId="19" xfId="0" applyNumberFormat="1" applyFont="1" applyFill="1" applyBorder="1" applyAlignment="1">
      <alignment horizontal="center"/>
    </xf>
    <xf numFmtId="0" fontId="4" fillId="15" borderId="2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44" xfId="0" applyBorder="1" applyAlignment="1">
      <alignment/>
    </xf>
    <xf numFmtId="17" fontId="4" fillId="15" borderId="17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" fontId="2" fillId="0" borderId="22" xfId="0" applyNumberFormat="1" applyFont="1" applyBorder="1" applyAlignment="1">
      <alignment horizontal="righ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/>
    </xf>
    <xf numFmtId="0" fontId="71" fillId="15" borderId="17" xfId="0" applyFont="1" applyFill="1" applyBorder="1" applyAlignment="1">
      <alignment horizontal="center" vertical="center"/>
    </xf>
    <xf numFmtId="0" fontId="12" fillId="0" borderId="0" xfId="149" applyFont="1" applyAlignment="1">
      <alignment horizontal="center"/>
      <protection/>
    </xf>
    <xf numFmtId="0" fontId="4" fillId="0" borderId="0" xfId="149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71" fillId="15" borderId="40" xfId="0" applyFont="1" applyFill="1" applyBorder="1" applyAlignment="1">
      <alignment horizontal="center" vertical="center"/>
    </xf>
    <xf numFmtId="0" fontId="71" fillId="15" borderId="21" xfId="0" applyFont="1" applyFill="1" applyBorder="1" applyAlignment="1">
      <alignment horizontal="center" vertical="center"/>
    </xf>
    <xf numFmtId="0" fontId="71" fillId="15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_1ª Estimativa-QUADROS JANEIRO-2013" xfId="23"/>
    <cellStyle name="20% - Ênfase2" xfId="24"/>
    <cellStyle name="20% - Ênfase2 2" xfId="25"/>
    <cellStyle name="20% - Ênfase2_1ª Estimativa-QUADROS JANEIRO-2013" xfId="26"/>
    <cellStyle name="20% - Ênfase3" xfId="27"/>
    <cellStyle name="20% - Ênfase3 2" xfId="28"/>
    <cellStyle name="20% - Ênfase3_1ª Estimativa-QUADROS JANEIRO-2013" xfId="29"/>
    <cellStyle name="20% - Ênfase4" xfId="30"/>
    <cellStyle name="20% - Ênfase4 2" xfId="31"/>
    <cellStyle name="20% - Ênfase4_1ª Estimativa-QUADROS JANEIRO-2013" xfId="32"/>
    <cellStyle name="20% - Ênfase5" xfId="33"/>
    <cellStyle name="20% - Ênfase5 2" xfId="34"/>
    <cellStyle name="20% - Ênfase6" xfId="35"/>
    <cellStyle name="20% - Ênfase6 2" xfId="36"/>
    <cellStyle name="20% - Ênfase6_Cotação-Preços Merc.Interno-1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" xfId="44"/>
    <cellStyle name="40% - Ênfase1 2" xfId="45"/>
    <cellStyle name="40% - Ênfase1_1ª Estimativa-QUADROS JANEIRO-2013" xfId="46"/>
    <cellStyle name="40% - Ênfase2" xfId="47"/>
    <cellStyle name="40% - Ênfase2 2" xfId="48"/>
    <cellStyle name="40% - Ênfase3" xfId="49"/>
    <cellStyle name="40% - Ênfase3 2" xfId="50"/>
    <cellStyle name="40% - Ênfase3_1ª Estimativa-QUADROS JANEIRO-2013" xfId="51"/>
    <cellStyle name="40% - Ênfase4" xfId="52"/>
    <cellStyle name="40% - Ênfase4 2" xfId="53"/>
    <cellStyle name="40% - Ênfase4_1ª Estimativa-QUADROS JANEIRO-2013" xfId="54"/>
    <cellStyle name="40% - Ênfase5" xfId="55"/>
    <cellStyle name="40% - Ênfase5 2" xfId="56"/>
    <cellStyle name="40% - Ênfase5_Cotação-Preços Merc.Interno-13" xfId="57"/>
    <cellStyle name="40% - Ênfase6" xfId="58"/>
    <cellStyle name="40% - Ênfase6 2" xfId="59"/>
    <cellStyle name="40% - Ênfase6_1ª Estimativa-QUADROS JANEIRO-2013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Ênfase1" xfId="67"/>
    <cellStyle name="60% - Ênfase1 2" xfId="68"/>
    <cellStyle name="60% - Ênfase1_1ª Estimativa-QUADROS JANEIRO-2013" xfId="69"/>
    <cellStyle name="60% - Ênfase2" xfId="70"/>
    <cellStyle name="60% - Ênfase2 2" xfId="71"/>
    <cellStyle name="60% - Ênfase2_Cotação-Preços Merc.Interno-13" xfId="72"/>
    <cellStyle name="60% - Ênfase3" xfId="73"/>
    <cellStyle name="60% - Ênfase3 2" xfId="74"/>
    <cellStyle name="60% - Ênfase3_1ª Estimativa-QUADROS JANEIRO-2013" xfId="75"/>
    <cellStyle name="60% - Ênfase4" xfId="76"/>
    <cellStyle name="60% - Ênfase4 2" xfId="77"/>
    <cellStyle name="60% - Ênfase4_1ª Estimativa-QUADROS JANEIRO-2013" xfId="78"/>
    <cellStyle name="60% - Ênfase5" xfId="79"/>
    <cellStyle name="60% - Ênfase5 2" xfId="80"/>
    <cellStyle name="60% - Ênfase5_Cotação-Preços Merc.Interno-13" xfId="81"/>
    <cellStyle name="60% - Ênfase6" xfId="82"/>
    <cellStyle name="60% - Ênfase6 2" xfId="83"/>
    <cellStyle name="60% - Ênfase6_1ª Estimativa-QUADROS JANEIRO-2013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Bom" xfId="92"/>
    <cellStyle name="Bom 2" xfId="93"/>
    <cellStyle name="Bom_1ª Estimativa-QUADROS JANEIRO-2013" xfId="94"/>
    <cellStyle name="Calculation" xfId="95"/>
    <cellStyle name="Cálculo" xfId="96"/>
    <cellStyle name="Cálculo 2" xfId="97"/>
    <cellStyle name="Cálculo_1ª Estimativa-QUADROS JANEIRO-2013" xfId="98"/>
    <cellStyle name="Célula de Verificação" xfId="99"/>
    <cellStyle name="Célula de Verificação 2" xfId="100"/>
    <cellStyle name="Célula Vinculada" xfId="101"/>
    <cellStyle name="Célula Vinculada 2" xfId="102"/>
    <cellStyle name="Célula Vinculada_Cotação-Preços Merc.Interno-13" xfId="103"/>
    <cellStyle name="Check Cell" xfId="104"/>
    <cellStyle name="Ênfase1" xfId="105"/>
    <cellStyle name="Ênfase1 2" xfId="106"/>
    <cellStyle name="Ênfase1_1ª Estimativa-QUADROS JANEIRO-2013" xfId="107"/>
    <cellStyle name="Ênfase2" xfId="108"/>
    <cellStyle name="Ênfase2 2" xfId="109"/>
    <cellStyle name="Ênfase2_Cotação-Preços Merc.Interno-13" xfId="110"/>
    <cellStyle name="Ênfase3" xfId="111"/>
    <cellStyle name="Ênfase3 2" xfId="112"/>
    <cellStyle name="Ênfase3_Cotação-Preços Merc.Interno-13" xfId="113"/>
    <cellStyle name="Ênfase4" xfId="114"/>
    <cellStyle name="Ênfase4 2" xfId="115"/>
    <cellStyle name="Ênfase4_1ª Estimativa-QUADROS JANEIRO-2013" xfId="116"/>
    <cellStyle name="Ênfase5" xfId="117"/>
    <cellStyle name="Ênfase5 2" xfId="118"/>
    <cellStyle name="Ênfase6" xfId="119"/>
    <cellStyle name="Ênfase6 2" xfId="120"/>
    <cellStyle name="Ênfase6_Cotação-Preços Merc.Interno-13" xfId="121"/>
    <cellStyle name="Entrada" xfId="122"/>
    <cellStyle name="Entrada 2" xfId="123"/>
    <cellStyle name="Entrada_Cotação-Preços Merc.Interno-13" xfId="124"/>
    <cellStyle name="Explanatory Text" xfId="125"/>
    <cellStyle name="Good" xfId="126"/>
    <cellStyle name="Heading 1" xfId="127"/>
    <cellStyle name="Heading 2" xfId="128"/>
    <cellStyle name="Heading 3" xfId="129"/>
    <cellStyle name="Heading 4" xfId="130"/>
    <cellStyle name="Hyperlink" xfId="131"/>
    <cellStyle name="Followed Hyperlink" xfId="132"/>
    <cellStyle name="Hyperlink_Ranking do Agronegócio-Valores" xfId="133"/>
    <cellStyle name="Incorreto" xfId="134"/>
    <cellStyle name="Incorreto 2" xfId="135"/>
    <cellStyle name="Incorreto_Cotação-Preços Merc.Interno-13" xfId="136"/>
    <cellStyle name="Input" xfId="137"/>
    <cellStyle name="Linked Cell" xfId="138"/>
    <cellStyle name="Currency" xfId="139"/>
    <cellStyle name="Currency [0]" xfId="140"/>
    <cellStyle name="Neutra" xfId="141"/>
    <cellStyle name="Neutra 2" xfId="142"/>
    <cellStyle name="Neutra_Cotação-Preços Merc.Interno-13" xfId="143"/>
    <cellStyle name="Neutral" xfId="144"/>
    <cellStyle name="Normal 2" xfId="145"/>
    <cellStyle name="Normal 2 2" xfId="146"/>
    <cellStyle name="Normal 3" xfId="147"/>
    <cellStyle name="Normal_2001 09 SET" xfId="148"/>
    <cellStyle name="Normal_Balança Janeiro-02" xfId="149"/>
    <cellStyle name="Normal_Balança Janeiro-022" xfId="150"/>
    <cellStyle name="Normal_Estoques privados e público-CONAB-04-13" xfId="151"/>
    <cellStyle name="Normal_Informe Café - Julho-02" xfId="152"/>
    <cellStyle name="Normal_Plan1_1" xfId="153"/>
    <cellStyle name="Normal_Ranking do Agronegócio-Valores" xfId="154"/>
    <cellStyle name="Nota" xfId="155"/>
    <cellStyle name="Nota 2" xfId="156"/>
    <cellStyle name="Note" xfId="157"/>
    <cellStyle name="Output" xfId="158"/>
    <cellStyle name="Percent" xfId="159"/>
    <cellStyle name="Saída" xfId="160"/>
    <cellStyle name="Saída 2" xfId="161"/>
    <cellStyle name="Saída_1ª Estimativa-QUADROS JANEIRO-2013" xfId="162"/>
    <cellStyle name="Comma" xfId="163"/>
    <cellStyle name="Comma [0]" xfId="164"/>
    <cellStyle name="Separador de milhares 2" xfId="165"/>
    <cellStyle name="Separador de milhares 3" xfId="166"/>
    <cellStyle name="Separador de milhares_Estoques privados e público-CONAB-04-13" xfId="167"/>
    <cellStyle name="Texto de Aviso" xfId="168"/>
    <cellStyle name="Texto de Aviso 2" xfId="169"/>
    <cellStyle name="Texto de Aviso_Informe Café - Junho-2012" xfId="170"/>
    <cellStyle name="Texto Explicativo" xfId="171"/>
    <cellStyle name="Texto Explicativo 2" xfId="172"/>
    <cellStyle name="Title" xfId="173"/>
    <cellStyle name="Título" xfId="174"/>
    <cellStyle name="Título 1" xfId="175"/>
    <cellStyle name="Título 1 2" xfId="176"/>
    <cellStyle name="Título 1_1ª Estimativa-QUADROS JANEIRO-2013" xfId="177"/>
    <cellStyle name="Título 2" xfId="178"/>
    <cellStyle name="Título 2 2" xfId="179"/>
    <cellStyle name="Título 2_1ª Estimativa-QUADROS JANEIRO-2013" xfId="180"/>
    <cellStyle name="Título 3" xfId="181"/>
    <cellStyle name="Título 3 2" xfId="182"/>
    <cellStyle name="Título 3_1ª Estimativa-QUADROS JANEIRO-2013" xfId="183"/>
    <cellStyle name="Título 4" xfId="184"/>
    <cellStyle name="Título 4 2" xfId="185"/>
    <cellStyle name="Título 4_1ª Estimativa-QUADROS JANEIRO-2013" xfId="186"/>
    <cellStyle name="Título 5" xfId="187"/>
    <cellStyle name="Título_1ª Estimativa-QUADROS JANEIRO-2013" xfId="188"/>
    <cellStyle name="Total" xfId="189"/>
    <cellStyle name="Total 2" xfId="190"/>
    <cellStyle name="Total_1ª Estimativa-QUADROS JANEIRO-2013" xfId="191"/>
    <cellStyle name="Warning Text" xfId="19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externalLink" Target="externalLinks/externalLink22.xml" /><Relationship Id="rId44" Type="http://schemas.openxmlformats.org/officeDocument/2006/relationships/externalLink" Target="externalLinks/externalLink23.xml" /><Relationship Id="rId45" Type="http://schemas.openxmlformats.org/officeDocument/2006/relationships/externalLink" Target="externalLinks/externalLink24.xml" /><Relationship Id="rId46" Type="http://schemas.openxmlformats.org/officeDocument/2006/relationships/externalLink" Target="externalLinks/externalLink25.xml" /><Relationship Id="rId47" Type="http://schemas.openxmlformats.org/officeDocument/2006/relationships/externalLink" Target="externalLinks/externalLink26.xml" /><Relationship Id="rId48" Type="http://schemas.openxmlformats.org/officeDocument/2006/relationships/externalLink" Target="externalLinks/externalLink27.xml" /><Relationship Id="rId49" Type="http://schemas.openxmlformats.org/officeDocument/2006/relationships/externalLink" Target="externalLinks/externalLink28.xml" /><Relationship Id="rId5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Cotação Mensal 2014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75"/>
          <c:w val="0.7172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'Cotação Mensal'!$C$5:$C$6</c:f>
              <c:strCache>
                <c:ptCount val="1"/>
                <c:pt idx="0">
                  <c:v>* Arábica  Tipo 6 BC-Duro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'Cotação Mensal'!$C$8:$C$19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'Cotação Mensal'!$G$5:$G$6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'Cotação Mensal'!$G$8:$G$19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'Cotação Mensal'!$I$5:$I$6</c:f>
              <c:strCache>
                <c:ptCount val="1"/>
                <c:pt idx="0">
                  <c:v>Arábica  Tipo C Interno 500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'Cotação Mensal'!$I$8:$I$19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'Cotação Mensal'!$K$5:$K$6</c:f>
              <c:strCache>
                <c:ptCount val="1"/>
                <c:pt idx="0">
                  <c:v>Conillon Tipo 7 BC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'Cotação Mensal'!$K$8:$K$19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* Conillon Tipo 6-Pen.13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'Cotação Mensal'!$E$8:$E$19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  <c:max val="5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R$/Saca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2290"/>
        <c:crossesAt val="1"/>
        <c:crossBetween val="between"/>
        <c:dispUnits/>
        <c:majorUnit val="50"/>
        <c:min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31225"/>
          <c:w val="0.22825"/>
          <c:h val="0.2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
</a:t>
            </a:r>
          </a:p>
        </c:rich>
      </c:tx>
      <c:layout>
        <c:manualLayout>
          <c:xMode val="factor"/>
          <c:yMode val="factor"/>
          <c:x val="-0.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2"/>
          <c:w val="0.740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('Exp.Verde'!$B$6:$B$11,'Exp.Verde'!$B$13:$B$18)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('Exp.Verde'!$E$6:$E$11,'Exp.Verde'!$E$13:$E$18)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469356"/>
        <c:axId val="15571021"/>
      </c:barChart>
      <c:catAx>
        <c:axId val="4646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9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2425"/>
          <c:w val="0.23475"/>
          <c:h val="0.2227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0.762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('Exp.Verde'!$C$6:$C$11,'Exp.Verde'!$C$13:$C$18)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('Exp.Verde'!$F$6:$F$11,'Exp.Verde'!$F$13:$F$18)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21462"/>
        <c:axId val="53293159"/>
      </c:barChart>
      <c:catAx>
        <c:axId val="592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16"/>
          <c:w val="0.223"/>
          <c:h val="0.23525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('Exp.Solúvel'!$B$6:$B$11,'Exp.Solúvel'!$B$13:$B$18)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('Exp.Solúvel'!$E$6:$E$11,'Exp.Solúvel'!$E$13:$E$18)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876384"/>
        <c:axId val="21778593"/>
      </c:barChart>
      <c:catAx>
        <c:axId val="9876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76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67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('Exp.Solúvel'!$C$6:$C$11,'Exp.Solúvel'!$C$13:$C$18)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('Exp.Solúvel'!$F$6:$F$11,'Exp.Solúvel'!$F$13:$F$18)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789610"/>
        <c:axId val="19235579"/>
      </c:barChart>
      <c:catAx>
        <c:axId val="61789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92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('Exp.Torrado'!$B$6:$B$11,'Exp.Torrado'!$B$13:$B$18)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('Exp.Torrado'!$E$6:$E$11,'Exp.Torrado'!$E$13:$E$18)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0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('Exp.Torrado'!$C$6:$C$11,'Exp.Torrado'!$C$13:$C$18)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('Exp.Torrado'!$F$6:$F$11,'Exp.Torrado'!$F$13:$F$18)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93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Receita Cambial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5"/>
          <c:w val="0.73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2014 Receita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Ext.'!$B$6:$B$11,'Exp.Outs Ext.'!$B$13:$B$18)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Receita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Ext.'!$E$6:$E$11,'Exp.Outs Ext.'!$E$13:$E$18)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3925"/>
          <c:w val="0.262"/>
          <c:h val="0.219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Volume 2014/13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075"/>
          <c:w val="0.747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v>2014 Volume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Ext.'!$C$6:$C$11,'Exp.Outs Ext.'!$C$13:$C$18)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2013 Volume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('Exp.Outs Ext.'!$F$6:$F$11,'Exp.Outs Ext.'!$F$13:$F$18)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Mês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15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95"/>
          <c:w val="0.2355"/>
          <c:h val="0.218"/>
        </c:manualLayout>
      </c:layout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400050</xdr:colOff>
      <xdr:row>0</xdr:row>
      <xdr:rowOff>0</xdr:rowOff>
    </xdr:from>
    <xdr:to>
      <xdr:col>18</xdr:col>
      <xdr:colOff>409575</xdr:colOff>
      <xdr:row>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</xdr:row>
      <xdr:rowOff>171450</xdr:rowOff>
    </xdr:from>
    <xdr:to>
      <xdr:col>7</xdr:col>
      <xdr:colOff>723900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619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85725</xdr:rowOff>
    </xdr:from>
    <xdr:to>
      <xdr:col>10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28575" y="3724275"/>
        <a:ext cx="7219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114300</xdr:rowOff>
    </xdr:from>
    <xdr:to>
      <xdr:col>5</xdr:col>
      <xdr:colOff>219075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8575" y="4467225"/>
        <a:ext cx="3533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114300</xdr:rowOff>
    </xdr:from>
    <xdr:to>
      <xdr:col>10</xdr:col>
      <xdr:colOff>676275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3648075" y="4467225"/>
        <a:ext cx="36290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104775</xdr:rowOff>
    </xdr:from>
    <xdr:to>
      <xdr:col>5</xdr:col>
      <xdr:colOff>238125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4457700"/>
        <a:ext cx="3429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24</xdr:row>
      <xdr:rowOff>104775</xdr:rowOff>
    </xdr:from>
    <xdr:to>
      <xdr:col>10</xdr:col>
      <xdr:colOff>590550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3543300" y="4457700"/>
        <a:ext cx="35242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marconni.sobreira\Configura&#231;&#245;es%20locais\Temporary%20Internet%20Files\OLK1C\Linha%20Especial-Res-3.783\DEMANDA-LINHA%20ESPECIAL-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SIPLAN\2010\DCAF-2010\Distribui&#231;&#227;o%20Recursos%20UF-Consolidado-setembro-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CAF&#201;S\FUNCAF&#201;\Distribui&#231;&#227;o%20Recursos%20UF-Consolidado-setembro-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Distribui&#231;&#227;o%20Recursos%20UF-Consolidado-setembro-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SIPLAN\2010\Distribui&#231;&#227;o%20Recursos%20UF-Consolidado-setembro-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Distribui&#231;&#227;o%20Recursos%20UF-Consolidado-setembro-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SIPLAN\2010\Distribui&#231;&#227;o%20Recursos%20UF-Consolidado-setembro-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marconni.sobreira\AppData\Local\Microsoft\Windows\Temporary%20Internet%20Files\OLK71C6\DCAF-2010\Distribui&#231;&#227;o%20Recursos%20UF-Consolidado-setembro-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Tabelas%20Relat&#243;rios%20Funcaf&#233;\2011\Distribui&#231;&#227;o%20Recursos%20UF-Consolidado-setembro-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Documents%20and%20Settings\marconni.sobreira\Configura&#231;&#245;es%20locais\Temporary%20Internet%20Files\OLK1C\Linha%20Especial-Res-3.783\DEMANDA-LINHA%20ESPECIAL-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Documents%20and%20Settings\marconni.sobreira\Configura&#231;&#245;es%20locais\Temporary%20Internet%20Files\OLK1C\Distribui&#231;&#227;o%20Recursos%20UF-Consolidado-dezembro-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marconni.sobreira\Configura&#231;&#245;es%20locais\Temporary%20Internet%20Files\OLK1C\Distribui&#231;&#227;o%20Recursos%20UF-Consolidado-dezembro-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marconni.sobreira\AppData\Local\Microsoft\Windows\Temporary%20Internet%20Files\OLK71C6\Distribui&#231;&#227;o%20Recursos%20UF-Consolidado-setembro-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AppData\Local\Microsoft\Windows\Temporary%20Internet%20Files\OLKB99E\DCAF-2010\Distribui&#231;&#227;o%20Recursos%20UF-Consolidado-setembro-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AppData\Local\Microsoft\Windows\Temporary%20Internet%20Files\OLKB99E\Distribui&#231;&#227;o%20Recursos%20UF-Consolidado-setembro-0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AppData\Local\Microsoft\Windows\Temporary%20Internet%20Files\OLKB99E\SIPLAN\2010\Distribui&#231;&#227;o%20Recursos%20UF-Consolidado-setembro-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paulo.abreu\Documents\Paulo\Tabelas%20Relat&#243;rios%20Funcaf&#233;\2011\Distribui&#231;&#227;o%20Recursos%20UF-Consolidado-setembro-0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marconni.sobreira\AppData\Local\Microsoft\Windows\Temporary%20Internet%20Files\OLK71C6\SIPLAN\2010\Distribui&#231;&#227;o%20Recursos%20UF-Consolidado-setembro-0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janaina.freitas\AppData\Local\Microsoft\Windows\Temporary%20Internet%20Files\OLK78F6\Distribui&#231;&#227;o%20Recursos%20UF-Consolidado-setembro-0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janaina.freitas\AppData\Local\Microsoft\Windows\Temporary%20Internet%20Files\OLK78F6\DCAF-2010\Distribui&#231;&#227;o%20Recursos%20UF-Consolidado-setembro-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208\funcafe\Users\janaina.freitas\AppData\Local\Microsoft\Windows\Temporary%20Internet%20Files\OLK78F6\SIPLAN\2010\Distribui&#231;&#227;o%20Recursos%20UF-Consolidado-setembro-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Funcaf&#233;\Distribui&#231;&#227;o%20Recursos%20UF-Consolidado-setembro-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Funcaf&#233;\DCAF-2010\Distribui&#231;&#227;o%20Recursos%20UF-Consolidado-setembro-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Distribui&#231;&#227;o%20Recursos%20UF-Consolidado-setembro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SIPLAN\2010\Distribui&#231;&#227;o%20Recursos%20UF-Consolidado-setembro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Documents%20and%20Settings\paulo.abreu\Meus%20documentos\Paulo\Caf&#233;s\Funcaf&#233;\DCAF-2010\Distribui&#231;&#227;o%20Recursos%20UF-Consolidado-setembro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Documents\Paulo\CAF&#201;S\FUNCAF&#201;\DCAF-2010\Distribui&#231;&#227;o%20Recursos%20UF-Consolidado-setembro-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rv03\SPAE\Users\paulo.abreu\AppData\Local\Microsoft\Windows\Temporary%20Internet%20Files\OLKB99E\DCAF-2010\Distribui&#231;&#227;o%20Recursos%20UF-Consolidado-setembro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oop.Proc.Valor"/>
      <sheetName val="Cooperativas-Certidões-Pt.Liq.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D7" t="str">
            <v>JANEIRO </v>
          </cell>
          <cell r="E7" t="str">
            <v>FEVEREIRO </v>
          </cell>
          <cell r="F7" t="str">
            <v>MARÇO </v>
          </cell>
          <cell r="G7" t="str">
            <v>ABRIL </v>
          </cell>
          <cell r="H7" t="str">
            <v>MAIO </v>
          </cell>
          <cell r="I7" t="str">
            <v>JUNHO </v>
          </cell>
          <cell r="J7" t="str">
            <v>JULHO </v>
          </cell>
          <cell r="K7" t="str">
            <v>AGOSTO </v>
          </cell>
        </row>
        <row r="8">
          <cell r="D8">
            <v>10208807.15</v>
          </cell>
          <cell r="E8">
            <v>3834343.62</v>
          </cell>
          <cell r="F8">
            <v>0</v>
          </cell>
          <cell r="G8">
            <v>203559.69</v>
          </cell>
          <cell r="H8">
            <v>3875128.12</v>
          </cell>
          <cell r="I8">
            <v>540963.02</v>
          </cell>
          <cell r="J8">
            <v>229234.23</v>
          </cell>
          <cell r="K8">
            <v>237526.58</v>
          </cell>
        </row>
        <row r="9">
          <cell r="D9">
            <v>134576.04</v>
          </cell>
          <cell r="E9">
            <v>0</v>
          </cell>
          <cell r="F9">
            <v>0</v>
          </cell>
          <cell r="G9">
            <v>13505.55</v>
          </cell>
          <cell r="H9">
            <v>5514.89</v>
          </cell>
          <cell r="I9">
            <v>0</v>
          </cell>
          <cell r="J9">
            <v>616737.79</v>
          </cell>
          <cell r="K9">
            <v>67688.22</v>
          </cell>
        </row>
        <row r="10">
          <cell r="D10">
            <v>461675.22</v>
          </cell>
          <cell r="E10">
            <v>2100.44</v>
          </cell>
          <cell r="F10">
            <v>20723.23</v>
          </cell>
          <cell r="G10">
            <v>30455.59</v>
          </cell>
          <cell r="H10">
            <v>398.08</v>
          </cell>
          <cell r="I10">
            <v>44152.62</v>
          </cell>
          <cell r="J10">
            <v>18287.79</v>
          </cell>
          <cell r="K10" t="str">
            <v> </v>
          </cell>
        </row>
        <row r="11">
          <cell r="D11">
            <v>6322921.12</v>
          </cell>
          <cell r="E11">
            <v>0</v>
          </cell>
          <cell r="F11">
            <v>668658.38</v>
          </cell>
          <cell r="G11">
            <v>0</v>
          </cell>
          <cell r="H11">
            <v>1277450.39</v>
          </cell>
          <cell r="I11">
            <v>757655.76</v>
          </cell>
          <cell r="J11">
            <v>137300.02</v>
          </cell>
          <cell r="K11">
            <v>77308.77</v>
          </cell>
        </row>
        <row r="12">
          <cell r="D12">
            <v>25524.87</v>
          </cell>
          <cell r="E12">
            <v>0</v>
          </cell>
          <cell r="F12">
            <v>635561.94</v>
          </cell>
          <cell r="G12">
            <v>506237.17</v>
          </cell>
          <cell r="H12">
            <v>228416.07</v>
          </cell>
          <cell r="I12">
            <v>0</v>
          </cell>
          <cell r="J12">
            <v>0</v>
          </cell>
          <cell r="K12">
            <v>162896.24</v>
          </cell>
        </row>
        <row r="13">
          <cell r="D13">
            <v>1804050.78</v>
          </cell>
          <cell r="E13">
            <v>30222.44</v>
          </cell>
          <cell r="F13">
            <v>87747.59</v>
          </cell>
          <cell r="G13">
            <v>140301.73</v>
          </cell>
          <cell r="H13">
            <v>72354.45</v>
          </cell>
          <cell r="I13">
            <v>82938.53</v>
          </cell>
          <cell r="J13">
            <v>60306.68</v>
          </cell>
          <cell r="K13">
            <v>16679.72</v>
          </cell>
        </row>
        <row r="14">
          <cell r="D14">
            <v>507745.05</v>
          </cell>
          <cell r="E14">
            <v>14874.01</v>
          </cell>
          <cell r="F14">
            <v>0</v>
          </cell>
          <cell r="G14">
            <v>54588.85</v>
          </cell>
          <cell r="H14">
            <v>70589.52</v>
          </cell>
          <cell r="I14">
            <v>39923.14</v>
          </cell>
          <cell r="J14">
            <v>18473.39</v>
          </cell>
          <cell r="K14">
            <v>367.08</v>
          </cell>
        </row>
        <row r="15">
          <cell r="D15">
            <v>927890.88</v>
          </cell>
          <cell r="E15" t="str">
            <v> </v>
          </cell>
          <cell r="F15">
            <v>151321.54</v>
          </cell>
          <cell r="G15">
            <v>4230.15</v>
          </cell>
          <cell r="H15">
            <v>151321.54</v>
          </cell>
          <cell r="I15" t="str">
            <v> </v>
          </cell>
          <cell r="J15">
            <v>7249.14</v>
          </cell>
          <cell r="K15">
            <v>28266.76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24355.24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43246.78</v>
          </cell>
          <cell r="E18">
            <v>92171.49</v>
          </cell>
          <cell r="F18">
            <v>357166.99</v>
          </cell>
          <cell r="G18">
            <v>733765.19</v>
          </cell>
          <cell r="H18">
            <v>64143.52</v>
          </cell>
          <cell r="I18">
            <v>36402.02</v>
          </cell>
          <cell r="J18">
            <v>72641.31</v>
          </cell>
          <cell r="K18">
            <v>36611.39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498840.75</v>
          </cell>
          <cell r="H20">
            <v>257260.12</v>
          </cell>
          <cell r="I20">
            <v>140233.98</v>
          </cell>
          <cell r="J20">
            <v>21201.21</v>
          </cell>
          <cell r="K20">
            <v>-140681.7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63731.04</v>
          </cell>
          <cell r="H21">
            <v>217985.43</v>
          </cell>
          <cell r="I21">
            <v>54895.16</v>
          </cell>
          <cell r="J21">
            <v>5263.19</v>
          </cell>
          <cell r="K21">
            <v>12322.81</v>
          </cell>
        </row>
        <row r="22">
          <cell r="D22">
            <v>257554.95</v>
          </cell>
          <cell r="E22">
            <v>7083.08</v>
          </cell>
          <cell r="F22">
            <v>19812.19</v>
          </cell>
          <cell r="G22">
            <v>93380.14</v>
          </cell>
          <cell r="H22">
            <v>28819.12</v>
          </cell>
          <cell r="I22">
            <v>177897.27</v>
          </cell>
          <cell r="J22">
            <v>259464.12</v>
          </cell>
          <cell r="K22">
            <v>110277.86</v>
          </cell>
        </row>
        <row r="23">
          <cell r="D23">
            <v>0</v>
          </cell>
          <cell r="E23">
            <v>0</v>
          </cell>
          <cell r="F23">
            <v>1917856.41</v>
          </cell>
          <cell r="G23">
            <v>1002286.54</v>
          </cell>
          <cell r="H23">
            <v>362078.9</v>
          </cell>
          <cell r="I23">
            <v>384047.78</v>
          </cell>
          <cell r="J23">
            <v>35580.55</v>
          </cell>
          <cell r="K23">
            <v>58167.34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lores-UF-09"/>
      <sheetName val="Coop.Prod.UF-09"/>
      <sheetName val="Liberado-09"/>
      <sheetName val="Reembolsos-09"/>
      <sheetName val="Spred-09"/>
      <sheetName val="Agentes-Coop-09"/>
      <sheetName val="Geral-Regiao-09"/>
    </sheetNames>
    <sheetDataSet>
      <sheetData sheetId="4">
        <row r="7">
          <cell r="E7" t="str">
            <v>JANEIRO </v>
          </cell>
          <cell r="F7" t="str">
            <v>FEVEREIRO </v>
          </cell>
          <cell r="G7" t="str">
            <v>MARÇO </v>
          </cell>
          <cell r="H7" t="str">
            <v>ABRIL </v>
          </cell>
          <cell r="I7" t="str">
            <v>MAIO </v>
          </cell>
          <cell r="J7" t="str">
            <v>JUNHO </v>
          </cell>
          <cell r="K7" t="str">
            <v>JULHO </v>
          </cell>
          <cell r="L7" t="str">
            <v>AGOSTO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vegetal/estatistica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gov.br/agrostat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25" sqref="A25:J25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11.421875" style="0" customWidth="1"/>
    <col min="5" max="5" width="7.7109375" style="0" customWidth="1"/>
    <col min="7" max="7" width="10.421875" style="0" customWidth="1"/>
    <col min="8" max="8" width="11.57421875" style="0" customWidth="1"/>
    <col min="9" max="9" width="14.7109375" style="0" customWidth="1"/>
    <col min="10" max="10" width="21.57421875" style="0" customWidth="1"/>
  </cols>
  <sheetData>
    <row r="1" spans="1:10" ht="16.5">
      <c r="A1" s="51"/>
      <c r="B1" s="52"/>
      <c r="C1" s="52"/>
      <c r="D1" s="52"/>
      <c r="E1" s="52"/>
      <c r="F1" s="52"/>
      <c r="G1" s="52"/>
      <c r="H1" s="52"/>
      <c r="I1" s="52"/>
      <c r="J1" s="53"/>
    </row>
    <row r="2" spans="1:10" ht="19.5" customHeight="1">
      <c r="A2" s="439" t="s">
        <v>77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9.5" customHeight="1">
      <c r="A3" s="448" t="s">
        <v>128</v>
      </c>
      <c r="B3" s="449"/>
      <c r="C3" s="449"/>
      <c r="D3" s="449"/>
      <c r="E3" s="449"/>
      <c r="F3" s="449"/>
      <c r="G3" s="449"/>
      <c r="H3" s="449"/>
      <c r="I3" s="449"/>
      <c r="J3" s="430"/>
    </row>
    <row r="4" spans="1:10" ht="20.25" customHeight="1">
      <c r="A4" s="448" t="s">
        <v>144</v>
      </c>
      <c r="B4" s="449"/>
      <c r="C4" s="449"/>
      <c r="D4" s="449"/>
      <c r="E4" s="449"/>
      <c r="F4" s="449"/>
      <c r="G4" s="449"/>
      <c r="H4" s="449"/>
      <c r="I4" s="449"/>
      <c r="J4" s="430"/>
    </row>
    <row r="5" spans="1:10" ht="15" customHeight="1">
      <c r="A5" s="17"/>
      <c r="B5" s="1"/>
      <c r="C5" s="1"/>
      <c r="D5" s="1"/>
      <c r="E5" s="1"/>
      <c r="F5" s="1"/>
      <c r="G5" s="1"/>
      <c r="H5" s="1"/>
      <c r="I5" s="1"/>
      <c r="J5" s="16"/>
    </row>
    <row r="6" spans="1:10" ht="15" customHeight="1">
      <c r="A6" s="17"/>
      <c r="B6" s="1"/>
      <c r="C6" s="1"/>
      <c r="D6" s="1"/>
      <c r="E6" s="1"/>
      <c r="F6" s="1"/>
      <c r="G6" s="1"/>
      <c r="H6" s="1"/>
      <c r="I6" s="1"/>
      <c r="J6" s="16"/>
    </row>
    <row r="7" spans="1:10" ht="15" customHeight="1">
      <c r="A7" s="17"/>
      <c r="B7" s="1"/>
      <c r="C7" s="1"/>
      <c r="D7" s="1"/>
      <c r="E7" s="1"/>
      <c r="F7" s="1"/>
      <c r="G7" s="1"/>
      <c r="H7" s="1"/>
      <c r="I7" s="1"/>
      <c r="J7" s="16"/>
    </row>
    <row r="8" spans="1:10" ht="15" customHeight="1">
      <c r="A8" s="17"/>
      <c r="B8" s="1"/>
      <c r="C8" s="1"/>
      <c r="D8" s="1"/>
      <c r="E8" s="1"/>
      <c r="F8" s="1"/>
      <c r="G8" s="1"/>
      <c r="H8" s="1"/>
      <c r="I8" s="1"/>
      <c r="J8" s="16"/>
    </row>
    <row r="9" spans="1:10" ht="15" customHeight="1">
      <c r="A9" s="17"/>
      <c r="B9" s="1"/>
      <c r="C9" s="1"/>
      <c r="D9" s="1"/>
      <c r="E9" s="1"/>
      <c r="F9" s="1"/>
      <c r="G9" s="1"/>
      <c r="H9" s="1"/>
      <c r="I9" s="1"/>
      <c r="J9" s="16"/>
    </row>
    <row r="10" spans="1:10" ht="15" customHeight="1">
      <c r="A10" s="17"/>
      <c r="B10" s="1"/>
      <c r="C10" s="1"/>
      <c r="D10" s="1"/>
      <c r="E10" s="1"/>
      <c r="F10" s="1"/>
      <c r="G10" s="1"/>
      <c r="H10" s="1"/>
      <c r="I10" s="1"/>
      <c r="J10" s="16"/>
    </row>
    <row r="11" spans="1:10" ht="15" customHeight="1">
      <c r="A11" s="17"/>
      <c r="B11" s="1"/>
      <c r="C11" s="1"/>
      <c r="D11" s="1"/>
      <c r="E11" s="1"/>
      <c r="F11" s="1"/>
      <c r="G11" s="1"/>
      <c r="H11" s="1"/>
      <c r="I11" s="1"/>
      <c r="J11" s="16"/>
    </row>
    <row r="12" spans="1:10" ht="14.25" customHeight="1">
      <c r="A12" s="54"/>
      <c r="B12" s="1"/>
      <c r="C12" s="1"/>
      <c r="D12" s="1"/>
      <c r="E12" s="1"/>
      <c r="F12" s="1"/>
      <c r="G12" s="1"/>
      <c r="H12" s="1"/>
      <c r="I12" s="1"/>
      <c r="J12" s="16"/>
    </row>
    <row r="13" spans="1:10" ht="15">
      <c r="A13" s="18"/>
      <c r="B13" s="1"/>
      <c r="C13" s="1"/>
      <c r="D13" s="1"/>
      <c r="E13" s="1"/>
      <c r="F13" s="1"/>
      <c r="G13" s="1"/>
      <c r="H13" s="1"/>
      <c r="I13" s="1"/>
      <c r="J13" s="16"/>
    </row>
    <row r="14" spans="1:10" ht="19.5">
      <c r="A14" s="19"/>
      <c r="B14" s="1"/>
      <c r="C14" s="1"/>
      <c r="D14" s="1"/>
      <c r="E14" s="1"/>
      <c r="F14" s="1"/>
      <c r="G14" s="1"/>
      <c r="H14" s="1"/>
      <c r="I14" s="1"/>
      <c r="J14" s="16"/>
    </row>
    <row r="15" spans="1:10" ht="19.5">
      <c r="A15" s="19"/>
      <c r="B15" s="1"/>
      <c r="C15" s="1"/>
      <c r="D15" s="1"/>
      <c r="E15" s="1"/>
      <c r="F15" s="1"/>
      <c r="G15" s="1"/>
      <c r="H15" s="1"/>
      <c r="I15" s="1"/>
      <c r="J15" s="16"/>
    </row>
    <row r="16" spans="1:10" ht="19.5">
      <c r="A16" s="19"/>
      <c r="B16" s="1"/>
      <c r="C16" s="1"/>
      <c r="D16" s="1"/>
      <c r="E16" s="1"/>
      <c r="F16" s="1"/>
      <c r="G16" s="1"/>
      <c r="H16" s="1"/>
      <c r="I16" s="1"/>
      <c r="J16" s="16"/>
    </row>
    <row r="17" spans="1:10" ht="19.5">
      <c r="A17" s="19"/>
      <c r="B17" s="1"/>
      <c r="C17" s="1"/>
      <c r="D17" s="1"/>
      <c r="E17" s="1"/>
      <c r="F17" s="1"/>
      <c r="G17" s="1"/>
      <c r="H17" s="1"/>
      <c r="I17" s="1"/>
      <c r="J17" s="16"/>
    </row>
    <row r="18" spans="1:10" ht="19.5">
      <c r="A18" s="19"/>
      <c r="B18" s="1"/>
      <c r="C18" s="1"/>
      <c r="D18" s="1"/>
      <c r="E18" s="1"/>
      <c r="F18" s="1"/>
      <c r="G18" s="1"/>
      <c r="H18" s="1"/>
      <c r="I18" s="1"/>
      <c r="J18" s="16"/>
    </row>
    <row r="19" spans="1:10" ht="19.5">
      <c r="A19" s="19"/>
      <c r="B19" s="1"/>
      <c r="C19" s="1"/>
      <c r="D19" s="1"/>
      <c r="E19" s="1"/>
      <c r="F19" s="1"/>
      <c r="G19" s="1"/>
      <c r="H19" s="1"/>
      <c r="I19" s="1"/>
      <c r="J19" s="16"/>
    </row>
    <row r="20" spans="1:10" ht="19.5">
      <c r="A20" s="19"/>
      <c r="B20" s="1"/>
      <c r="C20" s="1"/>
      <c r="D20" s="1"/>
      <c r="E20" s="1"/>
      <c r="F20" s="1"/>
      <c r="G20" s="1"/>
      <c r="H20" s="1"/>
      <c r="I20" s="1"/>
      <c r="J20" s="16"/>
    </row>
    <row r="21" spans="1:10" ht="15">
      <c r="A21" s="20"/>
      <c r="B21" s="1"/>
      <c r="C21" s="1"/>
      <c r="D21" s="1"/>
      <c r="E21" s="1"/>
      <c r="F21" s="1"/>
      <c r="G21" s="1"/>
      <c r="H21" s="1"/>
      <c r="I21" s="1"/>
      <c r="J21" s="16"/>
    </row>
    <row r="22" spans="1:10" ht="15" customHeight="1">
      <c r="A22" s="442" t="s">
        <v>76</v>
      </c>
      <c r="B22" s="443"/>
      <c r="C22" s="443"/>
      <c r="D22" s="443"/>
      <c r="E22" s="443"/>
      <c r="F22" s="443"/>
      <c r="G22" s="443"/>
      <c r="H22" s="443"/>
      <c r="I22" s="443"/>
      <c r="J22" s="444"/>
    </row>
    <row r="23" spans="1:10" ht="15" customHeight="1">
      <c r="A23" s="442"/>
      <c r="B23" s="443"/>
      <c r="C23" s="443"/>
      <c r="D23" s="443"/>
      <c r="E23" s="443"/>
      <c r="F23" s="443"/>
      <c r="G23" s="443"/>
      <c r="H23" s="443"/>
      <c r="I23" s="443"/>
      <c r="J23" s="444"/>
    </row>
    <row r="24" spans="1:10" ht="15" customHeight="1">
      <c r="A24" s="442"/>
      <c r="B24" s="443"/>
      <c r="C24" s="443"/>
      <c r="D24" s="443"/>
      <c r="E24" s="443"/>
      <c r="F24" s="443"/>
      <c r="G24" s="443"/>
      <c r="H24" s="443"/>
      <c r="I24" s="443"/>
      <c r="J24" s="444"/>
    </row>
    <row r="25" spans="1:10" ht="21" customHeight="1">
      <c r="A25" s="445" t="s">
        <v>342</v>
      </c>
      <c r="B25" s="446"/>
      <c r="C25" s="446"/>
      <c r="D25" s="446"/>
      <c r="E25" s="446"/>
      <c r="F25" s="446"/>
      <c r="G25" s="446"/>
      <c r="H25" s="446"/>
      <c r="I25" s="446"/>
      <c r="J25" s="447"/>
    </row>
    <row r="26" spans="1:10" ht="12.75">
      <c r="A26" s="17"/>
      <c r="B26" s="1"/>
      <c r="C26" s="1"/>
      <c r="D26" s="1"/>
      <c r="E26" s="1"/>
      <c r="F26" s="1"/>
      <c r="G26" s="1"/>
      <c r="H26" s="1"/>
      <c r="I26" s="1"/>
      <c r="J26" s="16"/>
    </row>
    <row r="27" spans="1:10" ht="12.75">
      <c r="A27" s="17"/>
      <c r="B27" s="1"/>
      <c r="C27" s="1"/>
      <c r="D27" s="1"/>
      <c r="E27" s="1"/>
      <c r="F27" s="1"/>
      <c r="G27" s="1"/>
      <c r="H27" s="1"/>
      <c r="I27" s="1"/>
      <c r="J27" s="16"/>
    </row>
    <row r="28" spans="1:10" ht="12.75">
      <c r="A28" s="17"/>
      <c r="B28" s="1"/>
      <c r="C28" s="1"/>
      <c r="D28" s="1"/>
      <c r="E28" s="1"/>
      <c r="F28" s="1"/>
      <c r="G28" s="1"/>
      <c r="H28" s="1"/>
      <c r="I28" s="1"/>
      <c r="J28" s="16"/>
    </row>
    <row r="29" spans="1:10" ht="12.75">
      <c r="A29" s="17"/>
      <c r="B29" s="1"/>
      <c r="C29" s="1"/>
      <c r="D29" s="1"/>
      <c r="E29" s="1"/>
      <c r="F29" s="1"/>
      <c r="G29" s="1"/>
      <c r="H29" s="1"/>
      <c r="I29" s="1"/>
      <c r="J29" s="16"/>
    </row>
    <row r="30" spans="1:10" ht="12.75">
      <c r="A30" s="17"/>
      <c r="B30" s="1"/>
      <c r="C30" s="1"/>
      <c r="D30" s="1"/>
      <c r="E30" s="1"/>
      <c r="F30" s="1"/>
      <c r="G30" s="1"/>
      <c r="H30" s="1"/>
      <c r="I30" s="1"/>
      <c r="J30" s="16"/>
    </row>
    <row r="31" spans="1:10" ht="12.75">
      <c r="A31" s="17"/>
      <c r="B31" s="1"/>
      <c r="C31" s="1"/>
      <c r="D31" s="1"/>
      <c r="E31" s="1"/>
      <c r="F31" s="1"/>
      <c r="G31" s="1"/>
      <c r="H31" s="1"/>
      <c r="I31" s="1"/>
      <c r="J31" s="16"/>
    </row>
    <row r="32" spans="1:10" ht="12.75">
      <c r="A32" s="17"/>
      <c r="B32" s="1"/>
      <c r="C32" s="1"/>
      <c r="D32" s="1"/>
      <c r="E32" s="1"/>
      <c r="F32" s="1"/>
      <c r="G32" s="1"/>
      <c r="H32" s="1"/>
      <c r="I32" s="1"/>
      <c r="J32" s="16"/>
    </row>
    <row r="33" spans="1:10" ht="12.75">
      <c r="A33" s="17"/>
      <c r="B33" s="1"/>
      <c r="C33" s="1"/>
      <c r="D33" s="1"/>
      <c r="E33" s="1"/>
      <c r="F33" s="1"/>
      <c r="G33" s="1"/>
      <c r="H33" s="1"/>
      <c r="I33" s="1"/>
      <c r="J33" s="16"/>
    </row>
    <row r="34" spans="1:10" ht="12.75">
      <c r="A34" s="17"/>
      <c r="B34" s="1"/>
      <c r="C34" s="1"/>
      <c r="D34" s="1"/>
      <c r="E34" s="1"/>
      <c r="F34" s="1"/>
      <c r="G34" s="1"/>
      <c r="H34" s="1"/>
      <c r="I34" s="1"/>
      <c r="J34" s="16"/>
    </row>
    <row r="35" spans="1:10" ht="12.75">
      <c r="A35" s="17"/>
      <c r="B35" s="1"/>
      <c r="C35" s="1"/>
      <c r="D35" s="1"/>
      <c r="E35" s="1"/>
      <c r="F35" s="1"/>
      <c r="G35" s="1"/>
      <c r="H35" s="1"/>
      <c r="I35" s="1"/>
      <c r="J35" s="16"/>
    </row>
    <row r="36" spans="1:10" ht="12.75">
      <c r="A36" s="17"/>
      <c r="B36" s="1"/>
      <c r="C36" s="1"/>
      <c r="D36" s="1"/>
      <c r="E36" s="1"/>
      <c r="F36" s="1"/>
      <c r="G36" s="1"/>
      <c r="H36" s="1"/>
      <c r="I36" s="1"/>
      <c r="J36" s="16"/>
    </row>
    <row r="37" spans="1:10" ht="12.75">
      <c r="A37" s="17"/>
      <c r="B37" s="1"/>
      <c r="C37" s="1"/>
      <c r="D37" s="1"/>
      <c r="E37" s="1"/>
      <c r="F37" s="1"/>
      <c r="G37" s="1"/>
      <c r="H37" s="1"/>
      <c r="I37" s="1"/>
      <c r="J37" s="16"/>
    </row>
    <row r="38" spans="1:10" ht="12.75">
      <c r="A38" s="17"/>
      <c r="B38" s="1"/>
      <c r="C38" s="1"/>
      <c r="D38" s="1"/>
      <c r="E38" s="1"/>
      <c r="F38" s="1"/>
      <c r="G38" s="1"/>
      <c r="H38" s="1"/>
      <c r="I38" s="1"/>
      <c r="J38" s="16"/>
    </row>
    <row r="39" spans="1:10" ht="12.75">
      <c r="A39" s="17"/>
      <c r="B39" s="1"/>
      <c r="C39" s="1"/>
      <c r="D39" s="1"/>
      <c r="E39" s="1"/>
      <c r="F39" s="1"/>
      <c r="G39" s="1"/>
      <c r="H39" s="1"/>
      <c r="I39" s="1"/>
      <c r="J39" s="16"/>
    </row>
    <row r="40" spans="1:10" ht="12.75">
      <c r="A40" s="17"/>
      <c r="B40" s="1"/>
      <c r="C40" s="1"/>
      <c r="D40" s="1"/>
      <c r="E40" s="1"/>
      <c r="F40" s="1"/>
      <c r="G40" s="1"/>
      <c r="H40" s="1"/>
      <c r="I40" s="1"/>
      <c r="J40" s="16"/>
    </row>
    <row r="41" spans="1:10" ht="12.75">
      <c r="A41" s="17"/>
      <c r="B41" s="1"/>
      <c r="C41" s="1"/>
      <c r="D41" s="1"/>
      <c r="E41" s="1"/>
      <c r="F41" s="1"/>
      <c r="G41" s="1"/>
      <c r="H41" s="1"/>
      <c r="I41" s="1"/>
      <c r="J41" s="16"/>
    </row>
    <row r="42" spans="1:10" ht="12.75">
      <c r="A42" s="17"/>
      <c r="B42" s="1"/>
      <c r="C42" s="1"/>
      <c r="D42" s="1"/>
      <c r="E42" s="1"/>
      <c r="F42" s="1"/>
      <c r="G42" s="1"/>
      <c r="H42" s="1"/>
      <c r="I42" s="1"/>
      <c r="J42" s="16"/>
    </row>
    <row r="43" spans="1:10" ht="12.75">
      <c r="A43" s="17"/>
      <c r="B43" s="1"/>
      <c r="C43" s="1"/>
      <c r="D43" s="1"/>
      <c r="E43" s="1"/>
      <c r="F43" s="1"/>
      <c r="G43" s="1"/>
      <c r="H43" s="1"/>
      <c r="I43" s="1"/>
      <c r="J43" s="16"/>
    </row>
    <row r="44" spans="1:10" ht="12.75">
      <c r="A44" s="17"/>
      <c r="B44" s="1"/>
      <c r="C44" s="1"/>
      <c r="D44" s="1"/>
      <c r="E44" s="1"/>
      <c r="F44" s="1"/>
      <c r="G44" s="1"/>
      <c r="H44" s="1"/>
      <c r="I44" s="1"/>
      <c r="J44" s="16"/>
    </row>
    <row r="45" spans="1:10" ht="12.75">
      <c r="A45" s="17"/>
      <c r="B45" s="1"/>
      <c r="C45" s="1"/>
      <c r="D45" s="1"/>
      <c r="E45" s="1"/>
      <c r="F45" s="1"/>
      <c r="G45" s="1"/>
      <c r="H45" s="1"/>
      <c r="I45" s="1"/>
      <c r="J45" s="16"/>
    </row>
    <row r="46" spans="1:10" ht="12.75">
      <c r="A46" s="17"/>
      <c r="B46" s="1"/>
      <c r="C46" s="1"/>
      <c r="D46" s="1"/>
      <c r="E46" s="1"/>
      <c r="F46" s="1"/>
      <c r="G46" s="1"/>
      <c r="H46" s="1"/>
      <c r="I46" s="1"/>
      <c r="J46" s="16"/>
    </row>
    <row r="47" spans="1:10" ht="12.75">
      <c r="A47" s="17"/>
      <c r="B47" s="1"/>
      <c r="C47" s="1"/>
      <c r="D47" s="1"/>
      <c r="E47" s="1"/>
      <c r="F47" s="1"/>
      <c r="G47" s="1"/>
      <c r="H47" s="1"/>
      <c r="I47" s="1"/>
      <c r="J47" s="16"/>
    </row>
    <row r="48" spans="1:10" ht="12.75">
      <c r="A48" s="17"/>
      <c r="B48" s="1"/>
      <c r="C48" s="1"/>
      <c r="D48" s="1"/>
      <c r="E48" s="1"/>
      <c r="F48" s="1"/>
      <c r="G48" s="1"/>
      <c r="H48" s="1"/>
      <c r="I48" s="1"/>
      <c r="J48" s="16"/>
    </row>
    <row r="49" spans="1:10" ht="12.75">
      <c r="A49" s="17"/>
      <c r="B49" s="1"/>
      <c r="C49" s="1"/>
      <c r="D49" s="1"/>
      <c r="E49" s="1"/>
      <c r="F49" s="1"/>
      <c r="G49" s="1"/>
      <c r="H49" s="1"/>
      <c r="I49" s="1"/>
      <c r="J49" s="16"/>
    </row>
    <row r="50" spans="1:10" ht="12.75">
      <c r="A50" s="17"/>
      <c r="B50" s="1"/>
      <c r="C50" s="1"/>
      <c r="D50" s="1"/>
      <c r="E50" s="1"/>
      <c r="F50" s="1"/>
      <c r="G50" s="1"/>
      <c r="H50" s="1"/>
      <c r="I50" s="1"/>
      <c r="J50" s="16"/>
    </row>
    <row r="51" spans="1:10" ht="12.75">
      <c r="A51" s="17"/>
      <c r="B51" s="1"/>
      <c r="C51" s="1"/>
      <c r="D51" s="1"/>
      <c r="E51" s="1"/>
      <c r="F51" s="1"/>
      <c r="G51" s="1"/>
      <c r="H51" s="1"/>
      <c r="I51" s="1"/>
      <c r="J51" s="16"/>
    </row>
    <row r="52" spans="1:10" ht="12.75">
      <c r="A52" s="17"/>
      <c r="B52" s="1"/>
      <c r="C52" s="1"/>
      <c r="D52" s="1"/>
      <c r="E52" s="1"/>
      <c r="F52" s="1"/>
      <c r="G52" s="1"/>
      <c r="H52" s="1"/>
      <c r="I52" s="1"/>
      <c r="J52" s="16"/>
    </row>
    <row r="53" spans="1:10" ht="12.75">
      <c r="A53" s="17"/>
      <c r="B53" s="1"/>
      <c r="C53" s="1"/>
      <c r="D53" s="1"/>
      <c r="E53" s="1"/>
      <c r="F53" s="1"/>
      <c r="G53" s="1"/>
      <c r="H53" s="1"/>
      <c r="I53" s="1"/>
      <c r="J53" s="16"/>
    </row>
    <row r="54" spans="1:10" ht="12.75">
      <c r="A54" s="17"/>
      <c r="B54" s="1"/>
      <c r="C54" s="1"/>
      <c r="D54" s="1"/>
      <c r="E54" s="1"/>
      <c r="F54" s="1"/>
      <c r="G54" s="1"/>
      <c r="H54" s="1"/>
      <c r="I54" s="1"/>
      <c r="J54" s="16"/>
    </row>
    <row r="55" spans="1:10" ht="12.75">
      <c r="A55" s="17"/>
      <c r="B55" s="1"/>
      <c r="C55" s="1"/>
      <c r="D55" s="1"/>
      <c r="E55" s="1"/>
      <c r="F55" s="1"/>
      <c r="G55" s="1"/>
      <c r="H55" s="1"/>
      <c r="I55" s="1"/>
      <c r="J55" s="16"/>
    </row>
    <row r="56" spans="1:10" ht="12.75">
      <c r="A56" s="17"/>
      <c r="B56" s="1"/>
      <c r="C56" s="1"/>
      <c r="D56" s="1"/>
      <c r="E56" s="1"/>
      <c r="F56" s="1"/>
      <c r="G56" s="1"/>
      <c r="H56" s="1"/>
      <c r="I56" s="1"/>
      <c r="J56" s="16"/>
    </row>
    <row r="57" spans="1:10" ht="12.75">
      <c r="A57" s="17"/>
      <c r="B57" s="1"/>
      <c r="C57" s="1"/>
      <c r="D57" s="1"/>
      <c r="E57" s="1"/>
      <c r="F57" s="1"/>
      <c r="G57" s="1"/>
      <c r="H57" s="1"/>
      <c r="I57" s="1"/>
      <c r="J57" s="16"/>
    </row>
    <row r="58" spans="1:10" ht="12.75">
      <c r="A58" s="17"/>
      <c r="B58" s="1"/>
      <c r="C58" s="1"/>
      <c r="D58" s="1"/>
      <c r="E58" s="1"/>
      <c r="F58" s="1"/>
      <c r="G58" s="1"/>
      <c r="H58" s="1"/>
      <c r="I58" s="1"/>
      <c r="J58" s="16"/>
    </row>
    <row r="59" spans="1:10" ht="12.75">
      <c r="A59" s="17"/>
      <c r="B59" s="1"/>
      <c r="C59" s="1"/>
      <c r="D59" s="1"/>
      <c r="E59" s="1"/>
      <c r="F59" s="1"/>
      <c r="G59" s="1"/>
      <c r="H59" s="1"/>
      <c r="I59" s="1"/>
      <c r="J59" s="16"/>
    </row>
    <row r="60" spans="1:10" ht="12.75">
      <c r="A60" s="17"/>
      <c r="B60" s="1"/>
      <c r="C60" s="1"/>
      <c r="D60" s="1"/>
      <c r="E60" s="1"/>
      <c r="F60" s="1"/>
      <c r="G60" s="1"/>
      <c r="H60" s="1"/>
      <c r="I60" s="1"/>
      <c r="J60" s="16"/>
    </row>
    <row r="61" spans="1:10" ht="12" customHeight="1">
      <c r="A61" s="437"/>
      <c r="B61" s="438"/>
      <c r="C61" s="1"/>
      <c r="D61" s="1"/>
      <c r="E61" s="1"/>
      <c r="F61" s="1"/>
      <c r="G61" s="1"/>
      <c r="H61" s="1"/>
      <c r="I61" s="1"/>
      <c r="J61" s="16"/>
    </row>
    <row r="62" spans="1:10" ht="15">
      <c r="A62" s="437" t="s">
        <v>287</v>
      </c>
      <c r="B62" s="438"/>
      <c r="C62" s="1"/>
      <c r="D62" s="1"/>
      <c r="E62" s="1"/>
      <c r="F62" s="1"/>
      <c r="G62" s="1"/>
      <c r="H62" s="1"/>
      <c r="I62" s="1"/>
      <c r="J62" s="16"/>
    </row>
    <row r="63" spans="1:10" ht="12.75">
      <c r="A63" s="55"/>
      <c r="B63" s="56"/>
      <c r="C63" s="56"/>
      <c r="D63" s="56"/>
      <c r="E63" s="56"/>
      <c r="F63" s="56"/>
      <c r="G63" s="56"/>
      <c r="H63" s="56"/>
      <c r="I63" s="56"/>
      <c r="J63" s="57"/>
    </row>
  </sheetData>
  <mergeCells count="7">
    <mergeCell ref="A62:B62"/>
    <mergeCell ref="A2:J2"/>
    <mergeCell ref="A22:J24"/>
    <mergeCell ref="A61:B61"/>
    <mergeCell ref="A25:J25"/>
    <mergeCell ref="A3:J3"/>
    <mergeCell ref="A4:J4"/>
  </mergeCells>
  <printOptions horizontalCentered="1"/>
  <pageMargins left="0.37" right="0.36" top="0.4" bottom="0.61" header="0.5905511811023623" footer="0.61"/>
  <pageSetup horizontalDpi="1200" verticalDpi="1200" orientation="portrait" paperSize="9" scale="85" r:id="rId4"/>
  <legacyDrawing r:id="rId3"/>
  <oleObjects>
    <oleObject progId="MSPhotoEd.3" shapeId="570951" r:id="rId1"/>
    <oleObject progId="Word.Picture.8" shapeId="57095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14" sqref="A14"/>
    </sheetView>
  </sheetViews>
  <sheetFormatPr defaultColWidth="9.140625" defaultRowHeight="12.75"/>
  <cols>
    <col min="1" max="2" width="9.7109375" style="11" customWidth="1"/>
    <col min="3" max="3" width="11.28125" style="11" bestFit="1" customWidth="1"/>
    <col min="4" max="5" width="9.7109375" style="11" customWidth="1"/>
    <col min="6" max="6" width="10.140625" style="11" customWidth="1"/>
    <col min="7" max="7" width="9.421875" style="11" customWidth="1"/>
    <col min="8" max="8" width="9.7109375" style="11" customWidth="1"/>
    <col min="9" max="9" width="9.8515625" style="11" customWidth="1"/>
    <col min="10" max="10" width="9.7109375" style="11" customWidth="1"/>
    <col min="11" max="11" width="11.57421875" style="11" customWidth="1"/>
    <col min="12" max="16384" width="11.421875" style="11" customWidth="1"/>
  </cols>
  <sheetData>
    <row r="1" spans="1:11" ht="15.75">
      <c r="A1" s="523" t="s">
        <v>145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524">
        <v>2014</v>
      </c>
      <c r="C4" s="525"/>
      <c r="D4" s="526"/>
      <c r="E4" s="524">
        <v>2013</v>
      </c>
      <c r="F4" s="525"/>
      <c r="G4" s="526"/>
      <c r="H4" s="524" t="s">
        <v>4</v>
      </c>
      <c r="I4" s="526"/>
      <c r="J4" s="524" t="s">
        <v>5</v>
      </c>
      <c r="K4" s="526"/>
    </row>
    <row r="5" spans="1:11" ht="14.25">
      <c r="A5" s="137"/>
      <c r="B5" s="183" t="s">
        <v>7</v>
      </c>
      <c r="C5" s="184" t="s">
        <v>6</v>
      </c>
      <c r="D5" s="185" t="s">
        <v>8</v>
      </c>
      <c r="E5" s="183" t="s">
        <v>7</v>
      </c>
      <c r="F5" s="184" t="s">
        <v>6</v>
      </c>
      <c r="G5" s="185" t="s">
        <v>8</v>
      </c>
      <c r="H5" s="183" t="s">
        <v>7</v>
      </c>
      <c r="I5" s="184" t="s">
        <v>6</v>
      </c>
      <c r="J5" s="183" t="s">
        <v>7</v>
      </c>
      <c r="K5" s="185" t="s">
        <v>6</v>
      </c>
    </row>
    <row r="6" spans="1:11" ht="14.25">
      <c r="A6" s="40" t="s">
        <v>9</v>
      </c>
      <c r="B6" s="14">
        <v>339097</v>
      </c>
      <c r="C6" s="14">
        <v>2545500</v>
      </c>
      <c r="D6" s="41">
        <f aca="true" t="shared" si="0" ref="D6:D14">(B6*1000)/C6</f>
        <v>133.2142997446474</v>
      </c>
      <c r="E6" s="14">
        <v>468505</v>
      </c>
      <c r="F6" s="14">
        <v>2352900</v>
      </c>
      <c r="G6" s="41">
        <f aca="true" t="shared" si="1" ref="G6:G18">(E6*1000)/F6</f>
        <v>199.1181095669174</v>
      </c>
      <c r="H6" s="5">
        <f>(E19-E13+B6)</f>
        <v>2202686</v>
      </c>
      <c r="I6" s="5">
        <f>(F19-F13+C6)</f>
        <v>15556616.666666666</v>
      </c>
      <c r="J6" s="5">
        <f>(E12+E19-E6+B6)</f>
        <v>4452829</v>
      </c>
      <c r="K6" s="5">
        <f>(F12+F19-F6+C6)</f>
        <v>28511716.666666664</v>
      </c>
    </row>
    <row r="7" spans="1:11" ht="14.25">
      <c r="A7" s="40" t="s">
        <v>10</v>
      </c>
      <c r="B7" s="14">
        <v>362061</v>
      </c>
      <c r="C7" s="14">
        <v>2602850</v>
      </c>
      <c r="D7" s="41">
        <f t="shared" si="0"/>
        <v>139.1017538467449</v>
      </c>
      <c r="E7" s="14">
        <v>362447</v>
      </c>
      <c r="F7" s="14">
        <v>1897383.3333333333</v>
      </c>
      <c r="G7" s="41">
        <f t="shared" si="1"/>
        <v>191.0246567641401</v>
      </c>
      <c r="H7" s="5">
        <f aca="true" t="shared" si="2" ref="H7:I9">(H6-E14+B7)</f>
        <v>2206721</v>
      </c>
      <c r="I7" s="5">
        <f t="shared" si="2"/>
        <v>15760900</v>
      </c>
      <c r="J7" s="5">
        <f aca="true" t="shared" si="3" ref="J7:K9">(J6-E7+B7)</f>
        <v>4452443</v>
      </c>
      <c r="K7" s="5">
        <f t="shared" si="3"/>
        <v>29217183.333333332</v>
      </c>
    </row>
    <row r="8" spans="1:11" ht="14.25">
      <c r="A8" s="40" t="s">
        <v>11</v>
      </c>
      <c r="B8" s="14">
        <v>409264</v>
      </c>
      <c r="C8" s="14">
        <v>2556116.6666666665</v>
      </c>
      <c r="D8" s="41">
        <f t="shared" si="0"/>
        <v>160.11162766436067</v>
      </c>
      <c r="E8" s="14">
        <v>423579</v>
      </c>
      <c r="F8" s="14">
        <v>2296950</v>
      </c>
      <c r="G8" s="41">
        <f t="shared" si="1"/>
        <v>184.40932540978253</v>
      </c>
      <c r="H8" s="5">
        <f t="shared" si="2"/>
        <v>2258392</v>
      </c>
      <c r="I8" s="5">
        <f t="shared" si="2"/>
        <v>15856600</v>
      </c>
      <c r="J8" s="5">
        <f t="shared" si="3"/>
        <v>4438128</v>
      </c>
      <c r="K8" s="5">
        <f t="shared" si="3"/>
        <v>29476350</v>
      </c>
    </row>
    <row r="9" spans="1:11" ht="14.25">
      <c r="A9" s="40" t="s">
        <v>12</v>
      </c>
      <c r="B9" s="5">
        <v>500838</v>
      </c>
      <c r="C9" s="5">
        <v>2863850</v>
      </c>
      <c r="D9" s="41">
        <f t="shared" si="0"/>
        <v>174.88276271452764</v>
      </c>
      <c r="E9" s="5">
        <v>432854</v>
      </c>
      <c r="F9" s="5">
        <v>2458433.3333333335</v>
      </c>
      <c r="G9" s="41">
        <f t="shared" si="1"/>
        <v>176.0690412593386</v>
      </c>
      <c r="H9" s="5">
        <f t="shared" si="2"/>
        <v>2334522</v>
      </c>
      <c r="I9" s="5">
        <f t="shared" si="2"/>
        <v>15803116.666666666</v>
      </c>
      <c r="J9" s="5">
        <f t="shared" si="3"/>
        <v>4506112</v>
      </c>
      <c r="K9" s="5">
        <f t="shared" si="3"/>
        <v>29881766.666666668</v>
      </c>
    </row>
    <row r="10" spans="1:11" ht="14.25">
      <c r="A10" s="40" t="s">
        <v>13</v>
      </c>
      <c r="B10" s="5">
        <v>503699</v>
      </c>
      <c r="C10" s="5">
        <v>2692600</v>
      </c>
      <c r="D10" s="41">
        <f t="shared" si="0"/>
        <v>187.06788977196763</v>
      </c>
      <c r="E10" s="5">
        <v>397769</v>
      </c>
      <c r="F10" s="5">
        <v>2295983.3333333335</v>
      </c>
      <c r="G10" s="41">
        <f t="shared" si="1"/>
        <v>173.24559556907352</v>
      </c>
      <c r="H10" s="5">
        <f>(H9-E17+B10)</f>
        <v>2461416</v>
      </c>
      <c r="I10" s="5">
        <f>(I9-F17+C10)</f>
        <v>15783933.333333332</v>
      </c>
      <c r="J10" s="5">
        <f>(J9-E10+B10)</f>
        <v>4612042</v>
      </c>
      <c r="K10" s="5">
        <f>(K9-F10+C10)</f>
        <v>30278383.333333336</v>
      </c>
    </row>
    <row r="11" spans="1:11" ht="14.25">
      <c r="A11" s="40" t="s">
        <v>14</v>
      </c>
      <c r="B11" s="5">
        <v>498929</v>
      </c>
      <c r="C11" s="5">
        <v>2622166.6666666665</v>
      </c>
      <c r="D11" s="41">
        <f t="shared" si="0"/>
        <v>190.27356511790506</v>
      </c>
      <c r="E11" s="5">
        <v>339029</v>
      </c>
      <c r="F11" s="5">
        <v>2083600</v>
      </c>
      <c r="G11" s="41">
        <f t="shared" si="1"/>
        <v>162.71309272413131</v>
      </c>
      <c r="H11" s="5">
        <f>(H10-E18+B11)</f>
        <v>2613888</v>
      </c>
      <c r="I11" s="5">
        <f>(I10-F18+C11)</f>
        <v>15883083.333333332</v>
      </c>
      <c r="J11" s="5">
        <f>(J10-E11+B11)</f>
        <v>4771942</v>
      </c>
      <c r="K11" s="5">
        <f>(K10-F11+C11)</f>
        <v>30816950.000000004</v>
      </c>
    </row>
    <row r="12" spans="1:11" ht="14.25">
      <c r="A12" s="48" t="s">
        <v>15</v>
      </c>
      <c r="B12" s="43">
        <f>SUM(B6:B11)</f>
        <v>2613888</v>
      </c>
      <c r="C12" s="44">
        <f>SUM(C6:C11)</f>
        <v>15883083.333333332</v>
      </c>
      <c r="D12" s="134">
        <f t="shared" si="0"/>
        <v>164.57056511907325</v>
      </c>
      <c r="E12" s="43">
        <f>SUM(E6:E11)</f>
        <v>2424183</v>
      </c>
      <c r="F12" s="44">
        <f>SUM(F6:F11)</f>
        <v>13385250</v>
      </c>
      <c r="G12" s="134">
        <f t="shared" si="1"/>
        <v>181.10853364711156</v>
      </c>
      <c r="H12" s="5"/>
      <c r="I12" s="5"/>
      <c r="J12" s="5"/>
      <c r="K12" s="5"/>
    </row>
    <row r="13" spans="1:13" ht="14.25">
      <c r="A13" s="40" t="s">
        <v>16</v>
      </c>
      <c r="B13" s="14">
        <v>521650</v>
      </c>
      <c r="C13" s="14">
        <v>2769383.3333333335</v>
      </c>
      <c r="D13" s="41">
        <f t="shared" si="0"/>
        <v>188.36323369221788</v>
      </c>
      <c r="E13" s="14">
        <v>294465</v>
      </c>
      <c r="F13" s="14">
        <v>1922750</v>
      </c>
      <c r="G13" s="41">
        <f t="shared" si="1"/>
        <v>153.14783513197244</v>
      </c>
      <c r="H13" s="5">
        <f>(H11-E6+B13)</f>
        <v>2667033</v>
      </c>
      <c r="I13" s="5">
        <f>(I11-F6+C13)</f>
        <v>16299566.666666666</v>
      </c>
      <c r="J13" s="5">
        <f>(J11-E13+B13)</f>
        <v>4999127</v>
      </c>
      <c r="K13" s="5">
        <f>(K11-F13+C13)</f>
        <v>31663583.333333336</v>
      </c>
      <c r="L13" s="115"/>
      <c r="M13" s="115"/>
    </row>
    <row r="14" spans="1:11" ht="14.25">
      <c r="A14" s="40" t="s">
        <v>17</v>
      </c>
      <c r="B14" s="14">
        <v>510657</v>
      </c>
      <c r="C14" s="14">
        <v>2689733.3333333335</v>
      </c>
      <c r="D14" s="41">
        <f t="shared" si="0"/>
        <v>189.85413671739454</v>
      </c>
      <c r="E14" s="14">
        <v>358026</v>
      </c>
      <c r="F14" s="14">
        <v>2398566.6666666665</v>
      </c>
      <c r="G14" s="41">
        <f t="shared" si="1"/>
        <v>149.26664535764417</v>
      </c>
      <c r="H14" s="5">
        <f>(H13-E7+B14)</f>
        <v>2815243</v>
      </c>
      <c r="I14" s="5">
        <f>(I13-F7+C14)</f>
        <v>17091916.666666664</v>
      </c>
      <c r="J14" s="5">
        <f>(J13-E14+B14)</f>
        <v>5151758</v>
      </c>
      <c r="K14" s="5">
        <f>(K13-F14+C14)</f>
        <v>31954750</v>
      </c>
    </row>
    <row r="15" spans="1:11" ht="14.25">
      <c r="A15" s="40" t="s">
        <v>18</v>
      </c>
      <c r="B15" s="5"/>
      <c r="C15" s="5"/>
      <c r="D15" s="41"/>
      <c r="E15" s="5">
        <v>357593</v>
      </c>
      <c r="F15" s="5">
        <v>2460416.6666666665</v>
      </c>
      <c r="G15" s="41">
        <f t="shared" si="1"/>
        <v>145.33839119390348</v>
      </c>
      <c r="H15" s="5"/>
      <c r="I15" s="5"/>
      <c r="J15" s="5"/>
      <c r="K15" s="5"/>
    </row>
    <row r="16" spans="1:12" ht="14.25">
      <c r="A16" s="40" t="s">
        <v>19</v>
      </c>
      <c r="B16" s="5"/>
      <c r="C16" s="5"/>
      <c r="D16" s="41"/>
      <c r="E16" s="5">
        <v>424708</v>
      </c>
      <c r="F16" s="5">
        <v>2917333.3333333335</v>
      </c>
      <c r="G16" s="41">
        <f t="shared" si="1"/>
        <v>145.5808957952468</v>
      </c>
      <c r="H16" s="5"/>
      <c r="I16" s="5"/>
      <c r="J16" s="5"/>
      <c r="K16" s="5"/>
      <c r="L16" s="115"/>
    </row>
    <row r="17" spans="1:11" ht="14.25">
      <c r="A17" s="40" t="s">
        <v>20</v>
      </c>
      <c r="B17" s="5"/>
      <c r="C17" s="5"/>
      <c r="D17" s="41"/>
      <c r="E17" s="5">
        <v>376805</v>
      </c>
      <c r="F17" s="5">
        <v>2711783.3333333335</v>
      </c>
      <c r="G17" s="41">
        <f t="shared" si="1"/>
        <v>138.9509978058719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346457</v>
      </c>
      <c r="F18" s="5">
        <v>2523016.6666666665</v>
      </c>
      <c r="G18" s="372">
        <f t="shared" si="1"/>
        <v>137.31855384757665</v>
      </c>
      <c r="H18" s="5"/>
      <c r="I18" s="5"/>
      <c r="J18" s="5"/>
      <c r="K18" s="5"/>
    </row>
    <row r="19" spans="1:11" ht="14.25">
      <c r="A19" s="48" t="s">
        <v>15</v>
      </c>
      <c r="B19" s="43">
        <f>SUM(B13:B18)</f>
        <v>1032307</v>
      </c>
      <c r="C19" s="44">
        <f>SUM(C13:C18)</f>
        <v>5459116.666666667</v>
      </c>
      <c r="D19" s="134">
        <f>(B19*1000)/C19</f>
        <v>189.0978088640714</v>
      </c>
      <c r="E19" s="43">
        <f>SUM(E13:E18)</f>
        <v>2158054</v>
      </c>
      <c r="F19" s="46">
        <f>SUM(F13:F18)</f>
        <v>14933866.666666666</v>
      </c>
      <c r="G19" s="139">
        <f>(E19*1000)/F19</f>
        <v>144.5073836648691</v>
      </c>
      <c r="H19" s="47"/>
      <c r="I19" s="47"/>
      <c r="J19" s="47"/>
      <c r="K19" s="47"/>
    </row>
    <row r="20" spans="1:11" ht="14.25">
      <c r="A20" s="48" t="s">
        <v>2</v>
      </c>
      <c r="B20" s="136">
        <f>SUM(B19,B12)</f>
        <v>3646195</v>
      </c>
      <c r="C20" s="135">
        <f>SUM(C19,C12)</f>
        <v>21342200</v>
      </c>
      <c r="D20" s="138">
        <f>(B20*1000)/C20</f>
        <v>170.8443834281377</v>
      </c>
      <c r="E20" s="44">
        <f>SUM(E19,E12)</f>
        <v>4582237</v>
      </c>
      <c r="F20" s="44">
        <f>SUM(F19,F12)</f>
        <v>28319116.666666664</v>
      </c>
      <c r="G20" s="45">
        <f>(E20*1000)/F20</f>
        <v>161.8072009072788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83</v>
      </c>
      <c r="B23" s="7"/>
      <c r="C23" s="7"/>
      <c r="D23" s="3"/>
      <c r="E23" s="3"/>
      <c r="F23" s="3"/>
      <c r="G23" s="3"/>
      <c r="H23" s="3"/>
      <c r="I23" s="4"/>
      <c r="J23" s="4"/>
      <c r="K23" s="4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4"/>
      <c r="J24" s="4"/>
      <c r="K24" s="4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</sheetData>
  <mergeCells count="5">
    <mergeCell ref="A1:K1"/>
    <mergeCell ref="B4:D4"/>
    <mergeCell ref="E4:G4"/>
    <mergeCell ref="H4:I4"/>
    <mergeCell ref="J4:K4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scale="90" r:id="rId2"/>
  <ignoredErrors>
    <ignoredError sqref="D12 D20 D14:D19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4" sqref="A14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523" t="s">
        <v>22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524">
        <v>2014</v>
      </c>
      <c r="C4" s="525"/>
      <c r="D4" s="526"/>
      <c r="E4" s="524">
        <v>2013</v>
      </c>
      <c r="F4" s="525"/>
      <c r="G4" s="526"/>
      <c r="H4" s="524" t="s">
        <v>4</v>
      </c>
      <c r="I4" s="526"/>
      <c r="J4" s="524" t="s">
        <v>5</v>
      </c>
      <c r="K4" s="526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48347</v>
      </c>
      <c r="C6" s="5">
        <v>284700</v>
      </c>
      <c r="D6" s="41">
        <f aca="true" t="shared" si="0" ref="D6:D11">(B6*1000)/C6</f>
        <v>169.8173515981735</v>
      </c>
      <c r="E6" s="5">
        <v>54570</v>
      </c>
      <c r="F6" s="5">
        <v>278503.3333333333</v>
      </c>
      <c r="G6" s="41">
        <f aca="true" t="shared" si="1" ref="G6:G19">(E6*1000)/F6</f>
        <v>195.94020418666446</v>
      </c>
      <c r="H6" s="5">
        <f>(E19-E13+B6)</f>
        <v>314780</v>
      </c>
      <c r="I6" s="5">
        <f>(F19-F13+C6)</f>
        <v>1747286.6666666665</v>
      </c>
      <c r="J6" s="5">
        <f>(E12+E19-E6+B6)</f>
        <v>643543</v>
      </c>
      <c r="K6" s="5">
        <f>(F12+F19-F6+C6)</f>
        <v>3463416.6666666665</v>
      </c>
    </row>
    <row r="7" spans="1:12" ht="14.25">
      <c r="A7" s="40" t="s">
        <v>10</v>
      </c>
      <c r="B7" s="5">
        <v>41030</v>
      </c>
      <c r="C7" s="5">
        <v>246653.33333333334</v>
      </c>
      <c r="D7" s="41">
        <f t="shared" si="0"/>
        <v>166.3468295583545</v>
      </c>
      <c r="E7" s="5">
        <v>50756</v>
      </c>
      <c r="F7" s="5">
        <v>246350</v>
      </c>
      <c r="G7" s="41">
        <f t="shared" si="1"/>
        <v>206.0320681956566</v>
      </c>
      <c r="H7" s="5">
        <f aca="true" t="shared" si="2" ref="H7:I9">(H6-E14+B7)</f>
        <v>309444</v>
      </c>
      <c r="I7" s="5">
        <f t="shared" si="2"/>
        <v>1736973.333333333</v>
      </c>
      <c r="J7" s="5">
        <f aca="true" t="shared" si="3" ref="J7:K9">(J6-E7+B7)</f>
        <v>633817</v>
      </c>
      <c r="K7" s="5">
        <f t="shared" si="3"/>
        <v>3463720</v>
      </c>
      <c r="L7" s="115"/>
    </row>
    <row r="8" spans="1:11" ht="14.25">
      <c r="A8" s="40" t="s">
        <v>11</v>
      </c>
      <c r="B8" s="5">
        <v>37647</v>
      </c>
      <c r="C8" s="5">
        <v>225203.33333333334</v>
      </c>
      <c r="D8" s="41">
        <f t="shared" si="0"/>
        <v>167.16892881988127</v>
      </c>
      <c r="E8" s="5">
        <v>57662</v>
      </c>
      <c r="F8" s="5">
        <v>305110</v>
      </c>
      <c r="G8" s="41">
        <f t="shared" si="1"/>
        <v>188.98757825046704</v>
      </c>
      <c r="H8" s="5">
        <f t="shared" si="2"/>
        <v>284765</v>
      </c>
      <c r="I8" s="5">
        <f t="shared" si="2"/>
        <v>1625346.6666666663</v>
      </c>
      <c r="J8" s="5">
        <f t="shared" si="3"/>
        <v>613802</v>
      </c>
      <c r="K8" s="5">
        <f t="shared" si="3"/>
        <v>3383813.3333333335</v>
      </c>
    </row>
    <row r="9" spans="1:11" ht="14.25">
      <c r="A9" s="40" t="s">
        <v>12</v>
      </c>
      <c r="B9" s="5">
        <v>48691</v>
      </c>
      <c r="C9" s="5">
        <v>293063.3333333333</v>
      </c>
      <c r="D9" s="41">
        <f t="shared" si="0"/>
        <v>166.14497435139162</v>
      </c>
      <c r="E9" s="5">
        <v>60170</v>
      </c>
      <c r="F9" s="5">
        <v>308836.6666666667</v>
      </c>
      <c r="G9" s="41">
        <f t="shared" si="1"/>
        <v>194.82790255906573</v>
      </c>
      <c r="H9" s="5">
        <f t="shared" si="2"/>
        <v>275864</v>
      </c>
      <c r="I9" s="5">
        <f t="shared" si="2"/>
        <v>1612563.3333333328</v>
      </c>
      <c r="J9" s="5">
        <f t="shared" si="3"/>
        <v>602323</v>
      </c>
      <c r="K9" s="5">
        <f t="shared" si="3"/>
        <v>3368040.0000000005</v>
      </c>
    </row>
    <row r="10" spans="1:11" ht="14.25">
      <c r="A10" s="40" t="s">
        <v>13</v>
      </c>
      <c r="B10" s="5">
        <v>43749</v>
      </c>
      <c r="C10" s="5">
        <v>268016.6666666667</v>
      </c>
      <c r="D10" s="41">
        <f t="shared" si="0"/>
        <v>163.23238604564392</v>
      </c>
      <c r="E10" s="5">
        <v>53829</v>
      </c>
      <c r="F10" s="5">
        <v>285393.3333333333</v>
      </c>
      <c r="G10" s="41">
        <f t="shared" si="1"/>
        <v>188.6133756920274</v>
      </c>
      <c r="H10" s="5">
        <f>(H9-E17+B10)</f>
        <v>275442</v>
      </c>
      <c r="I10" s="5">
        <f>(I9-F17+C10)</f>
        <v>1633579.9999999995</v>
      </c>
      <c r="J10" s="5">
        <f>(J9-E10+B10)</f>
        <v>592243</v>
      </c>
      <c r="K10" s="5">
        <f>(K9-F10+C10)</f>
        <v>3350663.3333333335</v>
      </c>
    </row>
    <row r="11" spans="1:11" ht="14.25">
      <c r="A11" s="40" t="s">
        <v>14</v>
      </c>
      <c r="B11" s="5">
        <v>45827</v>
      </c>
      <c r="C11" s="5">
        <v>270053.3333333333</v>
      </c>
      <c r="D11" s="41">
        <f t="shared" si="0"/>
        <v>169.69610941048683</v>
      </c>
      <c r="E11" s="5">
        <v>51268</v>
      </c>
      <c r="F11" s="5">
        <v>270183.3333333333</v>
      </c>
      <c r="G11" s="41">
        <f t="shared" si="1"/>
        <v>189.75263709826663</v>
      </c>
      <c r="H11" s="5">
        <f>(H10-E18+B11)</f>
        <v>265291</v>
      </c>
      <c r="I11" s="5">
        <f>(I10-F18+C11)</f>
        <v>1587689.9999999995</v>
      </c>
      <c r="J11" s="5">
        <f>(J10-E11+B11)</f>
        <v>586802</v>
      </c>
      <c r="K11" s="5">
        <f>(K10-F11+C11)</f>
        <v>3350533.3333333335</v>
      </c>
    </row>
    <row r="12" spans="1:11" ht="14.25">
      <c r="A12" s="48" t="s">
        <v>15</v>
      </c>
      <c r="B12" s="43">
        <f>SUM(B6:B11)</f>
        <v>265291</v>
      </c>
      <c r="C12" s="44">
        <f>SUM(C6:C11)</f>
        <v>1587690</v>
      </c>
      <c r="D12" s="45">
        <f>(B12*1000)/C12</f>
        <v>167.0924424793253</v>
      </c>
      <c r="E12" s="43">
        <f>SUM(E6:E11)</f>
        <v>328255</v>
      </c>
      <c r="F12" s="44">
        <f>SUM(F6:F11)</f>
        <v>1694376.6666666665</v>
      </c>
      <c r="G12" s="45">
        <f t="shared" si="1"/>
        <v>193.73201157554502</v>
      </c>
      <c r="H12" s="6"/>
      <c r="I12" s="3"/>
      <c r="J12" s="3"/>
      <c r="K12" s="3"/>
    </row>
    <row r="13" spans="1:12" ht="14.25">
      <c r="A13" s="40" t="s">
        <v>16</v>
      </c>
      <c r="B13" s="14">
        <v>55252</v>
      </c>
      <c r="C13" s="14">
        <v>314123.3333333333</v>
      </c>
      <c r="D13" s="41">
        <f>(B13*1000)/C13</f>
        <v>175.89269607479017</v>
      </c>
      <c r="E13" s="14">
        <v>55078</v>
      </c>
      <c r="F13" s="14">
        <v>300256.6666666667</v>
      </c>
      <c r="G13" s="41">
        <f t="shared" si="1"/>
        <v>183.43639330794764</v>
      </c>
      <c r="H13" s="5">
        <f>(H11-E6+B13)</f>
        <v>265973</v>
      </c>
      <c r="I13" s="5">
        <f>(I11-F6+C13)</f>
        <v>1623309.9999999995</v>
      </c>
      <c r="J13" s="5">
        <f>(J11-E13+B13)</f>
        <v>586976</v>
      </c>
      <c r="K13" s="5">
        <f>(K11-F13+C13)</f>
        <v>3364400.0000000005</v>
      </c>
      <c r="L13" s="115"/>
    </row>
    <row r="14" spans="1:11" ht="14.25">
      <c r="A14" s="40" t="s">
        <v>17</v>
      </c>
      <c r="B14" s="5">
        <v>52865</v>
      </c>
      <c r="C14" s="5">
        <v>291416.6666666667</v>
      </c>
      <c r="D14" s="41">
        <f>(B14*1000)/C14</f>
        <v>181.40692021732912</v>
      </c>
      <c r="E14" s="5">
        <v>46366</v>
      </c>
      <c r="F14" s="5">
        <v>256966.66666666666</v>
      </c>
      <c r="G14" s="41">
        <f t="shared" si="1"/>
        <v>180.43585419639382</v>
      </c>
      <c r="H14" s="5">
        <f>(H13-E7+B14)</f>
        <v>268082</v>
      </c>
      <c r="I14" s="5">
        <f>(I13-F7+C14)</f>
        <v>1668376.6666666663</v>
      </c>
      <c r="J14" s="5">
        <f>(J13-E14+B14)</f>
        <v>593475</v>
      </c>
      <c r="K14" s="5">
        <f>(K13-F14+C14)</f>
        <v>3398850.0000000005</v>
      </c>
    </row>
    <row r="15" spans="1:11" ht="14.25">
      <c r="A15" s="40" t="s">
        <v>18</v>
      </c>
      <c r="B15" s="5"/>
      <c r="C15" s="5"/>
      <c r="D15" s="41"/>
      <c r="E15" s="5">
        <v>62326</v>
      </c>
      <c r="F15" s="5">
        <v>336830</v>
      </c>
      <c r="G15" s="41">
        <f t="shared" si="1"/>
        <v>185.03696226583142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57592</v>
      </c>
      <c r="F16" s="5">
        <v>305846.6666666667</v>
      </c>
      <c r="G16" s="41">
        <f t="shared" si="1"/>
        <v>188.3035072040456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44171</v>
      </c>
      <c r="F17" s="5">
        <v>247000</v>
      </c>
      <c r="G17" s="41">
        <f t="shared" si="1"/>
        <v>178.82995951417004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55978</v>
      </c>
      <c r="F18" s="5">
        <v>315943.3333333333</v>
      </c>
      <c r="G18" s="372">
        <f t="shared" si="1"/>
        <v>177.1773419284049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108117</v>
      </c>
      <c r="C19" s="44">
        <f>SUM(C13:C18)</f>
        <v>605540</v>
      </c>
      <c r="D19" s="45">
        <f>(B19*1000)/C19</f>
        <v>178.54642137596196</v>
      </c>
      <c r="E19" s="43">
        <f>SUM(E13:E18)</f>
        <v>321511</v>
      </c>
      <c r="F19" s="44">
        <f>SUM(F13:F18)</f>
        <v>1762843.3333333333</v>
      </c>
      <c r="G19" s="138">
        <f t="shared" si="1"/>
        <v>182.38206079950385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373408</v>
      </c>
      <c r="C20" s="44">
        <f>SUM(C12,C19)</f>
        <v>2193230</v>
      </c>
      <c r="D20" s="134">
        <f>(B20*1000)/C20</f>
        <v>170.25482963483083</v>
      </c>
      <c r="E20" s="43">
        <f>SUM(E12,E19)</f>
        <v>649766</v>
      </c>
      <c r="F20" s="44">
        <f>SUM(F12,F19)</f>
        <v>3457220</v>
      </c>
      <c r="G20" s="45">
        <f>(E20*1000)/F20</f>
        <v>187.94464916898548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 D14:D1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4" sqref="A14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523" t="s">
        <v>243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524">
        <v>2014</v>
      </c>
      <c r="C4" s="525"/>
      <c r="D4" s="526"/>
      <c r="E4" s="524">
        <v>2013</v>
      </c>
      <c r="F4" s="525"/>
      <c r="G4" s="526"/>
      <c r="H4" s="524" t="s">
        <v>4</v>
      </c>
      <c r="I4" s="526"/>
      <c r="J4" s="524" t="s">
        <v>5</v>
      </c>
      <c r="K4" s="526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783</v>
      </c>
      <c r="C6" s="5">
        <v>1646.1666666666667</v>
      </c>
      <c r="D6" s="41">
        <f aca="true" t="shared" si="0" ref="D6:D14">(B6*1000)/C6</f>
        <v>475.65050116432116</v>
      </c>
      <c r="E6" s="5">
        <v>978.142</v>
      </c>
      <c r="F6" s="5">
        <v>1904</v>
      </c>
      <c r="G6" s="41">
        <f aca="true" t="shared" si="1" ref="G6:G18">(E6*1000)/F6</f>
        <v>513.7300420168067</v>
      </c>
      <c r="H6" s="5">
        <f>(E19-E13+B6)</f>
        <v>7794</v>
      </c>
      <c r="I6" s="5">
        <f>(F19-F13+C6)</f>
        <v>19892.833333333332</v>
      </c>
      <c r="J6" s="5">
        <f>(E12+E19-E6+B6)</f>
        <v>15666</v>
      </c>
      <c r="K6" s="5">
        <f>(F12+F19-F6+C6)</f>
        <v>39686.49999999999</v>
      </c>
    </row>
    <row r="7" spans="1:12" ht="14.25">
      <c r="A7" s="40" t="s">
        <v>10</v>
      </c>
      <c r="B7" s="5">
        <v>1023</v>
      </c>
      <c r="C7" s="5">
        <v>2340.3333333333335</v>
      </c>
      <c r="D7" s="41">
        <f t="shared" si="0"/>
        <v>437.1172197692636</v>
      </c>
      <c r="E7" s="5">
        <v>1069</v>
      </c>
      <c r="F7" s="5">
        <v>2102.3333333333335</v>
      </c>
      <c r="G7" s="41">
        <f t="shared" si="1"/>
        <v>508.48263833835415</v>
      </c>
      <c r="H7" s="5">
        <f aca="true" t="shared" si="2" ref="H7:I9">(H6-E14+B7)</f>
        <v>8139</v>
      </c>
      <c r="I7" s="5">
        <f t="shared" si="2"/>
        <v>19872.999999999996</v>
      </c>
      <c r="J7" s="5">
        <f aca="true" t="shared" si="3" ref="J7:K9">(J6-E7+B7)</f>
        <v>15620</v>
      </c>
      <c r="K7" s="5">
        <f t="shared" si="3"/>
        <v>39924.49999999999</v>
      </c>
      <c r="L7" s="115"/>
    </row>
    <row r="8" spans="1:11" ht="14.25">
      <c r="A8" s="40" t="s">
        <v>11</v>
      </c>
      <c r="B8" s="5">
        <v>877</v>
      </c>
      <c r="C8" s="5">
        <v>2221.3333333333335</v>
      </c>
      <c r="D8" s="41">
        <f t="shared" si="0"/>
        <v>394.80792316926767</v>
      </c>
      <c r="E8" s="5">
        <v>1278</v>
      </c>
      <c r="F8" s="5">
        <v>2796.5</v>
      </c>
      <c r="G8" s="41">
        <f t="shared" si="1"/>
        <v>456.99982120507775</v>
      </c>
      <c r="H8" s="5">
        <f t="shared" si="2"/>
        <v>8479</v>
      </c>
      <c r="I8" s="5">
        <f t="shared" si="2"/>
        <v>20348.999999999996</v>
      </c>
      <c r="J8" s="5">
        <f t="shared" si="3"/>
        <v>15219</v>
      </c>
      <c r="K8" s="5">
        <f t="shared" si="3"/>
        <v>39349.33333333333</v>
      </c>
    </row>
    <row r="9" spans="1:11" ht="14.25">
      <c r="A9" s="40" t="s">
        <v>12</v>
      </c>
      <c r="B9" s="5">
        <v>909</v>
      </c>
      <c r="C9" s="5">
        <v>2598.1666666666665</v>
      </c>
      <c r="D9" s="41">
        <f t="shared" si="0"/>
        <v>349.86208223747514</v>
      </c>
      <c r="E9" s="5">
        <v>1657</v>
      </c>
      <c r="F9" s="5">
        <v>3213</v>
      </c>
      <c r="G9" s="41">
        <f t="shared" si="1"/>
        <v>515.7173980703393</v>
      </c>
      <c r="H9" s="5">
        <f t="shared" si="2"/>
        <v>7406</v>
      </c>
      <c r="I9" s="5">
        <f t="shared" si="2"/>
        <v>17830.166666666664</v>
      </c>
      <c r="J9" s="5">
        <f t="shared" si="3"/>
        <v>14471</v>
      </c>
      <c r="K9" s="5">
        <f t="shared" si="3"/>
        <v>38734.49999999999</v>
      </c>
    </row>
    <row r="10" spans="1:11" ht="14.25">
      <c r="A10" s="40" t="s">
        <v>13</v>
      </c>
      <c r="B10" s="5">
        <v>589</v>
      </c>
      <c r="C10" s="5">
        <v>1765.1666666666667</v>
      </c>
      <c r="D10" s="41">
        <f t="shared" si="0"/>
        <v>333.6795392314229</v>
      </c>
      <c r="E10" s="5">
        <v>980</v>
      </c>
      <c r="F10" s="5">
        <v>4621.166666666667</v>
      </c>
      <c r="G10" s="41">
        <f t="shared" si="1"/>
        <v>212.0676596818985</v>
      </c>
      <c r="H10" s="5">
        <f>(H9-E17+B10)</f>
        <v>5965</v>
      </c>
      <c r="I10" s="5">
        <f>(I9-F17+C10)</f>
        <v>14974.166666666662</v>
      </c>
      <c r="J10" s="5">
        <f>(J9-E10+B10)</f>
        <v>14080</v>
      </c>
      <c r="K10" s="5">
        <f>(K9-F10+C10)</f>
        <v>35878.49999999999</v>
      </c>
    </row>
    <row r="11" spans="1:11" ht="14.25">
      <c r="A11" s="40" t="s">
        <v>14</v>
      </c>
      <c r="B11" s="5">
        <v>1483</v>
      </c>
      <c r="C11" s="5">
        <v>3907.1666666666665</v>
      </c>
      <c r="D11" s="41">
        <f t="shared" si="0"/>
        <v>379.5589301710532</v>
      </c>
      <c r="E11" s="5">
        <v>1671</v>
      </c>
      <c r="F11" s="5">
        <v>3867.5</v>
      </c>
      <c r="G11" s="41">
        <f t="shared" si="1"/>
        <v>432.06205559146736</v>
      </c>
      <c r="H11" s="5">
        <f>(H10-E18+B11)</f>
        <v>5664</v>
      </c>
      <c r="I11" s="5">
        <f>(I10-F18+C11)</f>
        <v>14478.333333333328</v>
      </c>
      <c r="J11" s="5">
        <f>(J10-E11+B11)</f>
        <v>13892</v>
      </c>
      <c r="K11" s="5">
        <f>(K10-F11+C11)</f>
        <v>35918.16666666666</v>
      </c>
    </row>
    <row r="12" spans="1:11" ht="14.25">
      <c r="A12" s="48" t="s">
        <v>15</v>
      </c>
      <c r="B12" s="43">
        <f>SUM(B6:B11)</f>
        <v>5664</v>
      </c>
      <c r="C12" s="44">
        <f>SUM(C6:C11)</f>
        <v>14478.333333333332</v>
      </c>
      <c r="D12" s="45">
        <f t="shared" si="0"/>
        <v>391.2052492229769</v>
      </c>
      <c r="E12" s="43">
        <f>SUM(E6:E11)</f>
        <v>7633.142</v>
      </c>
      <c r="F12" s="44">
        <f>SUM(F6:F11)</f>
        <v>18504.5</v>
      </c>
      <c r="G12" s="45">
        <f t="shared" si="1"/>
        <v>412.50193196249563</v>
      </c>
      <c r="H12" s="6"/>
      <c r="I12" s="3"/>
      <c r="J12" s="3"/>
      <c r="K12" s="3"/>
    </row>
    <row r="13" spans="1:12" ht="14.25">
      <c r="A13" s="40" t="s">
        <v>16</v>
      </c>
      <c r="B13" s="5">
        <v>989</v>
      </c>
      <c r="C13" s="5">
        <v>2717.1666666666665</v>
      </c>
      <c r="D13" s="41">
        <f t="shared" si="0"/>
        <v>363.9820891860394</v>
      </c>
      <c r="E13" s="5">
        <v>1217</v>
      </c>
      <c r="F13" s="5">
        <v>3193.1666666666665</v>
      </c>
      <c r="G13" s="41">
        <f t="shared" si="1"/>
        <v>381.1263635889138</v>
      </c>
      <c r="H13" s="5">
        <f>(H11-E6+B13)</f>
        <v>5674.858</v>
      </c>
      <c r="I13" s="5">
        <f>(I11-F6+C13)</f>
        <v>15291.499999999995</v>
      </c>
      <c r="J13" s="5">
        <f>(J11-E13+B13)</f>
        <v>13664</v>
      </c>
      <c r="K13" s="5">
        <f>(K11-F13+C13)</f>
        <v>35442.16666666666</v>
      </c>
      <c r="L13" s="115"/>
    </row>
    <row r="14" spans="1:11" ht="14.25">
      <c r="A14" s="40" t="s">
        <v>17</v>
      </c>
      <c r="B14" s="5">
        <v>978</v>
      </c>
      <c r="C14" s="5">
        <v>2737</v>
      </c>
      <c r="D14" s="41">
        <f t="shared" si="0"/>
        <v>357.32553891121665</v>
      </c>
      <c r="E14" s="5">
        <v>678</v>
      </c>
      <c r="F14" s="5">
        <v>2360.1666666666665</v>
      </c>
      <c r="G14" s="41">
        <f t="shared" si="1"/>
        <v>287.2678483157969</v>
      </c>
      <c r="H14" s="5">
        <f>(H13-E7+B14)</f>
        <v>5583.858</v>
      </c>
      <c r="I14" s="5">
        <f>(I13-F7+C14)</f>
        <v>15926.16666666666</v>
      </c>
      <c r="J14" s="5">
        <f>(J13-E14+B14)</f>
        <v>13964</v>
      </c>
      <c r="K14" s="5">
        <f>(K13-F14+C14)</f>
        <v>35818.99999999999</v>
      </c>
    </row>
    <row r="15" spans="1:11" ht="14.25">
      <c r="A15" s="40" t="s">
        <v>18</v>
      </c>
      <c r="B15" s="5"/>
      <c r="C15" s="5"/>
      <c r="D15" s="41"/>
      <c r="E15" s="5">
        <v>537</v>
      </c>
      <c r="F15" s="5">
        <v>1745.3333333333333</v>
      </c>
      <c r="G15" s="41">
        <f t="shared" si="1"/>
        <v>307.6776165011459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1982</v>
      </c>
      <c r="F16" s="5">
        <v>5117</v>
      </c>
      <c r="G16" s="41">
        <f t="shared" si="1"/>
        <v>387.33632988078955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374"/>
      <c r="E17" s="5">
        <v>2030</v>
      </c>
      <c r="F17" s="5">
        <v>4621.166666666667</v>
      </c>
      <c r="G17" s="374">
        <f t="shared" si="1"/>
        <v>439.28300934107546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1784</v>
      </c>
      <c r="F18" s="5">
        <v>4403</v>
      </c>
      <c r="G18" s="372">
        <f t="shared" si="1"/>
        <v>405.1782875312287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1967</v>
      </c>
      <c r="C19" s="44">
        <f>SUM(C13:C18)</f>
        <v>5454.166666666666</v>
      </c>
      <c r="D19" s="45">
        <f>(B19*1000)/C19</f>
        <v>360.64171122994657</v>
      </c>
      <c r="E19" s="140">
        <f>SUM(E13:E18)</f>
        <v>8228</v>
      </c>
      <c r="F19" s="46">
        <f>SUM(F13:F18)</f>
        <v>21439.833333333332</v>
      </c>
      <c r="G19" s="139">
        <f>(E19*1000)/F19</f>
        <v>383.77164001585834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7631</v>
      </c>
      <c r="C20" s="44">
        <f>SUM(C12,C19)</f>
        <v>19932.5</v>
      </c>
      <c r="D20" s="134">
        <f>(B20*1000)/C20</f>
        <v>382.8420920607049</v>
      </c>
      <c r="E20" s="43">
        <f>SUM(E12,E19)</f>
        <v>15861.142</v>
      </c>
      <c r="F20" s="44">
        <f>SUM(F12,F19)</f>
        <v>39944.33333333333</v>
      </c>
      <c r="G20" s="45">
        <f>(E20*1000)/F20</f>
        <v>397.0811546068279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 D14:D19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4" sqref="A14"/>
    </sheetView>
  </sheetViews>
  <sheetFormatPr defaultColWidth="9.140625" defaultRowHeight="12.75"/>
  <cols>
    <col min="1" max="10" width="9.7109375" style="11" customWidth="1"/>
    <col min="11" max="11" width="11.7109375" style="11" customWidth="1"/>
    <col min="12" max="16384" width="11.421875" style="11" customWidth="1"/>
  </cols>
  <sheetData>
    <row r="1" spans="1:11" ht="15.75">
      <c r="A1" s="523" t="s">
        <v>221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15">
      <c r="A2" s="8"/>
      <c r="B2" s="9"/>
      <c r="C2" s="9"/>
      <c r="D2" s="10"/>
      <c r="E2" s="10"/>
      <c r="F2" s="10"/>
      <c r="G2" s="10"/>
      <c r="H2" s="10"/>
      <c r="I2" s="10"/>
      <c r="J2" s="10"/>
      <c r="K2" s="9"/>
    </row>
    <row r="4" spans="1:11" ht="14.25">
      <c r="A4" s="39" t="s">
        <v>3</v>
      </c>
      <c r="B4" s="524">
        <v>2014</v>
      </c>
      <c r="C4" s="525"/>
      <c r="D4" s="526"/>
      <c r="E4" s="524">
        <v>2013</v>
      </c>
      <c r="F4" s="525"/>
      <c r="G4" s="526"/>
      <c r="H4" s="524" t="s">
        <v>4</v>
      </c>
      <c r="I4" s="526"/>
      <c r="J4" s="524" t="s">
        <v>5</v>
      </c>
      <c r="K4" s="526"/>
    </row>
    <row r="5" spans="1:11" ht="14.25">
      <c r="A5" s="137"/>
      <c r="B5" s="183" t="s">
        <v>7</v>
      </c>
      <c r="C5" s="184" t="s">
        <v>6</v>
      </c>
      <c r="D5" s="184" t="s">
        <v>8</v>
      </c>
      <c r="E5" s="183" t="s">
        <v>7</v>
      </c>
      <c r="F5" s="184" t="s">
        <v>6</v>
      </c>
      <c r="G5" s="184" t="s">
        <v>8</v>
      </c>
      <c r="H5" s="183" t="s">
        <v>7</v>
      </c>
      <c r="I5" s="185" t="s">
        <v>6</v>
      </c>
      <c r="J5" s="184" t="s">
        <v>7</v>
      </c>
      <c r="K5" s="185" t="s">
        <v>6</v>
      </c>
    </row>
    <row r="6" spans="1:11" ht="14.25">
      <c r="A6" s="40" t="s">
        <v>9</v>
      </c>
      <c r="B6" s="5">
        <v>3194</v>
      </c>
      <c r="C6" s="5">
        <v>24266.666666666668</v>
      </c>
      <c r="D6" s="41">
        <f aca="true" t="shared" si="0" ref="D6:D14">(B6*1000)/C6</f>
        <v>131.62087912087912</v>
      </c>
      <c r="E6" s="5">
        <v>2464</v>
      </c>
      <c r="F6" s="5">
        <v>17550</v>
      </c>
      <c r="G6" s="41">
        <f aca="true" t="shared" si="1" ref="G6:G18">(E6*1000)/F6</f>
        <v>140.3988603988604</v>
      </c>
      <c r="H6" s="5">
        <f>(E19-E13+B6)</f>
        <v>12731</v>
      </c>
      <c r="I6" s="5">
        <f>(F19-F13+C6)</f>
        <v>97413.33333333333</v>
      </c>
      <c r="J6" s="5">
        <f>(E12+E19-E6+B6)</f>
        <v>28582</v>
      </c>
      <c r="K6" s="5">
        <f>(F12+F19-F6+C6)</f>
        <v>200763.3333333333</v>
      </c>
    </row>
    <row r="7" spans="1:12" ht="14.25">
      <c r="A7" s="40" t="s">
        <v>10</v>
      </c>
      <c r="B7" s="5">
        <v>4360</v>
      </c>
      <c r="C7" s="5">
        <v>33626.666666666664</v>
      </c>
      <c r="D7" s="41">
        <f t="shared" si="0"/>
        <v>129.65900079302142</v>
      </c>
      <c r="E7" s="5">
        <v>2358</v>
      </c>
      <c r="F7" s="5">
        <v>14733.333333333334</v>
      </c>
      <c r="G7" s="41">
        <f t="shared" si="1"/>
        <v>160.0452488687783</v>
      </c>
      <c r="H7" s="5">
        <f aca="true" t="shared" si="2" ref="H7:I9">(H6-E14+B7)</f>
        <v>15371</v>
      </c>
      <c r="I7" s="5">
        <f t="shared" si="2"/>
        <v>121983.33333333331</v>
      </c>
      <c r="J7" s="5">
        <f aca="true" t="shared" si="3" ref="J7:K9">(J6-E7+B7)</f>
        <v>30584</v>
      </c>
      <c r="K7" s="5">
        <f t="shared" si="3"/>
        <v>219656.66666666663</v>
      </c>
      <c r="L7" s="115"/>
    </row>
    <row r="8" spans="1:11" ht="14.25">
      <c r="A8" s="40" t="s">
        <v>11</v>
      </c>
      <c r="B8" s="5">
        <v>3905</v>
      </c>
      <c r="C8" s="5">
        <v>25480</v>
      </c>
      <c r="D8" s="41">
        <f t="shared" si="0"/>
        <v>153.2574568288854</v>
      </c>
      <c r="E8" s="5">
        <v>3471</v>
      </c>
      <c r="F8" s="5">
        <v>20973.333333333332</v>
      </c>
      <c r="G8" s="41">
        <f t="shared" si="1"/>
        <v>165.49586776859505</v>
      </c>
      <c r="H8" s="5">
        <f t="shared" si="2"/>
        <v>17008</v>
      </c>
      <c r="I8" s="5">
        <f t="shared" si="2"/>
        <v>130953.33333333331</v>
      </c>
      <c r="J8" s="5">
        <f t="shared" si="3"/>
        <v>31018</v>
      </c>
      <c r="K8" s="5">
        <f t="shared" si="3"/>
        <v>224163.33333333328</v>
      </c>
    </row>
    <row r="9" spans="1:11" ht="14.25">
      <c r="A9" s="40" t="s">
        <v>12</v>
      </c>
      <c r="B9" s="5">
        <v>3679</v>
      </c>
      <c r="C9" s="5">
        <v>28860</v>
      </c>
      <c r="D9" s="41">
        <f t="shared" si="0"/>
        <v>127.47747747747748</v>
      </c>
      <c r="E9" s="5">
        <v>2543</v>
      </c>
      <c r="F9" s="5">
        <v>14213.333333333334</v>
      </c>
      <c r="G9" s="41">
        <f t="shared" si="1"/>
        <v>178.91651031894935</v>
      </c>
      <c r="H9" s="5">
        <f t="shared" si="2"/>
        <v>18433</v>
      </c>
      <c r="I9" s="5">
        <f t="shared" si="2"/>
        <v>139793.3333333333</v>
      </c>
      <c r="J9" s="5">
        <f t="shared" si="3"/>
        <v>32154</v>
      </c>
      <c r="K9" s="5">
        <f t="shared" si="3"/>
        <v>238809.99999999994</v>
      </c>
    </row>
    <row r="10" spans="1:11" ht="14.25">
      <c r="A10" s="40" t="s">
        <v>13</v>
      </c>
      <c r="B10" s="5">
        <v>4730</v>
      </c>
      <c r="C10" s="5">
        <v>36530</v>
      </c>
      <c r="D10" s="41">
        <f t="shared" si="0"/>
        <v>129.482617027101</v>
      </c>
      <c r="E10" s="5">
        <v>2718</v>
      </c>
      <c r="F10" s="5">
        <v>17810</v>
      </c>
      <c r="G10" s="41">
        <f t="shared" si="1"/>
        <v>152.61089275687817</v>
      </c>
      <c r="H10" s="5">
        <f>(H9-E17+B10)</f>
        <v>21429</v>
      </c>
      <c r="I10" s="5">
        <f>(I9-F17+C10)</f>
        <v>162846.66666666663</v>
      </c>
      <c r="J10" s="5">
        <f>(J9-E10+B10)</f>
        <v>34166</v>
      </c>
      <c r="K10" s="5">
        <f>(K9-F10+C10)</f>
        <v>257529.99999999994</v>
      </c>
    </row>
    <row r="11" spans="1:11" ht="14.25">
      <c r="A11" s="40" t="s">
        <v>14</v>
      </c>
      <c r="B11" s="5">
        <v>5628</v>
      </c>
      <c r="C11" s="5">
        <v>46323.333333333336</v>
      </c>
      <c r="D11" s="41">
        <f t="shared" si="0"/>
        <v>121.49384759300568</v>
      </c>
      <c r="E11" s="5">
        <v>2739</v>
      </c>
      <c r="F11" s="5">
        <v>18330</v>
      </c>
      <c r="G11" s="41">
        <f t="shared" si="1"/>
        <v>149.42716857610475</v>
      </c>
      <c r="H11" s="5">
        <f>(H10-E18+B11)</f>
        <v>25496</v>
      </c>
      <c r="I11" s="5">
        <f>(I10-F18+C11)</f>
        <v>195086.66666666663</v>
      </c>
      <c r="J11" s="5">
        <f>(J10-E11+B11)</f>
        <v>37055</v>
      </c>
      <c r="K11" s="5">
        <f>(K10-F11+C11)</f>
        <v>285523.33333333326</v>
      </c>
    </row>
    <row r="12" spans="1:11" ht="14.25">
      <c r="A12" s="48" t="s">
        <v>15</v>
      </c>
      <c r="B12" s="43">
        <f>SUM(B6:B11)</f>
        <v>25496</v>
      </c>
      <c r="C12" s="44">
        <f>SUM(C6:C11)</f>
        <v>195086.66666666666</v>
      </c>
      <c r="D12" s="45">
        <f t="shared" si="0"/>
        <v>130.69063322284114</v>
      </c>
      <c r="E12" s="43">
        <f>SUM(E6:E11)</f>
        <v>16293</v>
      </c>
      <c r="F12" s="44">
        <f>SUM(F6:F11)</f>
        <v>103610</v>
      </c>
      <c r="G12" s="45">
        <f t="shared" si="1"/>
        <v>157.2531608918058</v>
      </c>
      <c r="H12" s="6"/>
      <c r="I12" s="3"/>
      <c r="J12" s="3"/>
      <c r="K12" s="3"/>
    </row>
    <row r="13" spans="1:12" ht="14.25">
      <c r="A13" s="40" t="s">
        <v>16</v>
      </c>
      <c r="B13" s="5">
        <v>4797</v>
      </c>
      <c r="C13" s="5">
        <v>38740</v>
      </c>
      <c r="D13" s="41">
        <f t="shared" si="0"/>
        <v>123.8255033557047</v>
      </c>
      <c r="E13" s="5">
        <v>2022</v>
      </c>
      <c r="F13" s="5">
        <v>17290</v>
      </c>
      <c r="G13" s="41">
        <f t="shared" si="1"/>
        <v>116.94621168305379</v>
      </c>
      <c r="H13" s="5">
        <f>(H11-E6+B13)</f>
        <v>27829</v>
      </c>
      <c r="I13" s="5">
        <f>(I11-F6+C13)</f>
        <v>216276.66666666663</v>
      </c>
      <c r="J13" s="5">
        <f>(J11-E13+B13)</f>
        <v>39830</v>
      </c>
      <c r="K13" s="5">
        <f>(K11-F13+C13)</f>
        <v>306973.33333333326</v>
      </c>
      <c r="L13" s="115"/>
    </row>
    <row r="14" spans="1:11" ht="14.25">
      <c r="A14" s="40" t="s">
        <v>17</v>
      </c>
      <c r="B14" s="5">
        <v>3415</v>
      </c>
      <c r="C14" s="5">
        <v>25306.666666666668</v>
      </c>
      <c r="D14" s="41">
        <f t="shared" si="0"/>
        <v>134.94467860906215</v>
      </c>
      <c r="E14" s="5">
        <v>1720</v>
      </c>
      <c r="F14" s="5">
        <v>9056.666666666666</v>
      </c>
      <c r="G14" s="41">
        <f t="shared" si="1"/>
        <v>189.91534781008465</v>
      </c>
      <c r="H14" s="5">
        <f>(H13-E7+B14)</f>
        <v>28886</v>
      </c>
      <c r="I14" s="5">
        <f>(I13-F7+C14)</f>
        <v>226849.99999999994</v>
      </c>
      <c r="J14" s="5">
        <f>(J13-E14+B14)</f>
        <v>41525</v>
      </c>
      <c r="K14" s="5">
        <f>(K13-F14+C14)</f>
        <v>323223.33333333326</v>
      </c>
    </row>
    <row r="15" spans="1:11" ht="14.25">
      <c r="A15" s="40" t="s">
        <v>18</v>
      </c>
      <c r="B15" s="5"/>
      <c r="C15" s="5"/>
      <c r="D15" s="41"/>
      <c r="E15" s="5">
        <v>2268</v>
      </c>
      <c r="F15" s="5">
        <v>16510</v>
      </c>
      <c r="G15" s="41">
        <f t="shared" si="1"/>
        <v>137.37129012719564</v>
      </c>
      <c r="H15" s="5"/>
      <c r="I15" s="5"/>
      <c r="J15" s="5"/>
      <c r="K15" s="5"/>
    </row>
    <row r="16" spans="1:11" ht="14.25">
      <c r="A16" s="40" t="s">
        <v>19</v>
      </c>
      <c r="B16" s="5"/>
      <c r="C16" s="5"/>
      <c r="D16" s="41"/>
      <c r="E16" s="5">
        <v>2254</v>
      </c>
      <c r="F16" s="5">
        <v>20020</v>
      </c>
      <c r="G16" s="41">
        <f t="shared" si="1"/>
        <v>112.58741258741259</v>
      </c>
      <c r="H16" s="5"/>
      <c r="I16" s="5"/>
      <c r="J16" s="5"/>
      <c r="K16" s="5"/>
    </row>
    <row r="17" spans="1:11" ht="14.25">
      <c r="A17" s="40" t="s">
        <v>20</v>
      </c>
      <c r="B17" s="5"/>
      <c r="C17" s="5"/>
      <c r="D17" s="41"/>
      <c r="E17" s="5">
        <v>1734</v>
      </c>
      <c r="F17" s="5">
        <v>13476.666666666666</v>
      </c>
      <c r="G17" s="41">
        <f t="shared" si="1"/>
        <v>128.66683156072224</v>
      </c>
      <c r="H17" s="5"/>
      <c r="I17" s="5"/>
      <c r="J17" s="5"/>
      <c r="K17" s="5"/>
    </row>
    <row r="18" spans="1:11" ht="14.25">
      <c r="A18" s="40" t="s">
        <v>21</v>
      </c>
      <c r="B18" s="5"/>
      <c r="C18" s="5"/>
      <c r="D18" s="372"/>
      <c r="E18" s="5">
        <v>1561</v>
      </c>
      <c r="F18" s="5">
        <v>14083.333333333334</v>
      </c>
      <c r="G18" s="372">
        <f t="shared" si="1"/>
        <v>110.84023668639053</v>
      </c>
      <c r="H18" s="5"/>
      <c r="I18" s="5"/>
      <c r="J18" s="5"/>
      <c r="K18" s="5"/>
    </row>
    <row r="19" spans="1:11" ht="14.25">
      <c r="A19" s="42" t="s">
        <v>15</v>
      </c>
      <c r="B19" s="43">
        <f>SUM(B13:B18)</f>
        <v>8212</v>
      </c>
      <c r="C19" s="44">
        <f>SUM(C13:C18)</f>
        <v>64046.66666666667</v>
      </c>
      <c r="D19" s="45">
        <f>(B19*1000)/C19</f>
        <v>128.2190069740814</v>
      </c>
      <c r="E19" s="140">
        <f>SUM(E13:E18)</f>
        <v>11559</v>
      </c>
      <c r="F19" s="46">
        <f>SUM(F13:F18)</f>
        <v>90436.66666666666</v>
      </c>
      <c r="G19" s="139">
        <f>(E19*1000)/F19</f>
        <v>127.81320260956103</v>
      </c>
      <c r="H19" s="47"/>
      <c r="I19" s="47"/>
      <c r="J19" s="47"/>
      <c r="K19" s="47"/>
    </row>
    <row r="20" spans="1:11" ht="14.25">
      <c r="A20" s="42" t="s">
        <v>2</v>
      </c>
      <c r="B20" s="43">
        <f>SUM(B12,B19)</f>
        <v>33708</v>
      </c>
      <c r="C20" s="44">
        <f>SUM(C12,C19)</f>
        <v>259133.3333333333</v>
      </c>
      <c r="D20" s="134">
        <f>(B20*1000)/C20</f>
        <v>130.07975302289685</v>
      </c>
      <c r="E20" s="43">
        <f>SUM(E12,E19)</f>
        <v>27852</v>
      </c>
      <c r="F20" s="44">
        <f>SUM(F12,F19)</f>
        <v>194046.66666666666</v>
      </c>
      <c r="G20" s="45">
        <f>(E20*1000)/F20</f>
        <v>143.5324835950115</v>
      </c>
      <c r="H20" s="49"/>
      <c r="I20" s="49"/>
      <c r="J20" s="49"/>
      <c r="K20" s="49"/>
    </row>
    <row r="21" spans="1:11" ht="14.25">
      <c r="A21" s="4" t="s">
        <v>155</v>
      </c>
      <c r="B21" s="7"/>
      <c r="C21" s="7"/>
      <c r="D21" s="3"/>
      <c r="E21" s="6"/>
      <c r="F21" s="6"/>
      <c r="G21" s="3"/>
      <c r="H21" s="3"/>
      <c r="I21" s="3"/>
      <c r="J21" s="3"/>
      <c r="K21" s="3"/>
    </row>
    <row r="22" spans="1:11" ht="14.25">
      <c r="A22" s="4" t="s">
        <v>82</v>
      </c>
      <c r="B22" s="7"/>
      <c r="C22" s="7"/>
      <c r="D22" s="3"/>
      <c r="E22" s="6"/>
      <c r="F22" s="6"/>
      <c r="G22" s="3"/>
      <c r="H22" s="3"/>
      <c r="I22" s="3"/>
      <c r="J22" s="3"/>
      <c r="K22" s="3"/>
    </row>
    <row r="23" spans="1:11" ht="14.25">
      <c r="A23" s="4" t="s">
        <v>177</v>
      </c>
      <c r="B23" s="7"/>
      <c r="C23" s="7"/>
      <c r="D23" s="3"/>
      <c r="E23" s="3"/>
      <c r="F23" s="3"/>
      <c r="G23" s="3"/>
      <c r="H23" s="3"/>
      <c r="I23" s="3"/>
      <c r="J23" s="3"/>
      <c r="K23" s="3"/>
    </row>
    <row r="24" spans="1:11" ht="14.25">
      <c r="A24" s="4" t="s">
        <v>81</v>
      </c>
      <c r="B24" s="7"/>
      <c r="C24" s="7"/>
      <c r="D24" s="3"/>
      <c r="E24" s="3"/>
      <c r="F24" s="3"/>
      <c r="G24" s="3"/>
      <c r="H24" s="3"/>
      <c r="I24" s="3"/>
      <c r="J24" s="3"/>
      <c r="K24" s="3"/>
    </row>
    <row r="25" spans="1:3" ht="14.25">
      <c r="A25" s="7"/>
      <c r="B25" s="7"/>
      <c r="C25" s="7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</sheetData>
  <mergeCells count="5">
    <mergeCell ref="A1:K1"/>
    <mergeCell ref="H4:I4"/>
    <mergeCell ref="J4:K4"/>
    <mergeCell ref="E4:G4"/>
    <mergeCell ref="B4:D4"/>
  </mergeCells>
  <printOptions horizontalCentered="1"/>
  <pageMargins left="0.07874015748031496" right="0.07874015748031496" top="0.5905511811023623" bottom="0.5905511811023623" header="0.5118110236220472" footer="0.5118110236220472"/>
  <pageSetup horizontalDpi="1200" verticalDpi="1200" orientation="portrait" paperSize="9" scale="92" r:id="rId2"/>
  <ignoredErrors>
    <ignoredError sqref="D12 D20 D14:D19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A1" sqref="A1:J1"/>
    </sheetView>
  </sheetViews>
  <sheetFormatPr defaultColWidth="9.140625" defaultRowHeight="12.75"/>
  <cols>
    <col min="1" max="1" width="26.8515625" style="145" customWidth="1"/>
    <col min="2" max="2" width="11.140625" style="145" customWidth="1"/>
    <col min="3" max="3" width="10.57421875" style="145" customWidth="1"/>
    <col min="4" max="4" width="10.140625" style="145" customWidth="1"/>
    <col min="5" max="5" width="11.140625" style="145" customWidth="1"/>
    <col min="6" max="6" width="10.57421875" style="145" customWidth="1"/>
    <col min="7" max="7" width="10.140625" style="177" customWidth="1"/>
    <col min="8" max="8" width="9.421875" style="145" customWidth="1"/>
    <col min="9" max="9" width="10.28125" style="145" customWidth="1"/>
    <col min="10" max="10" width="9.8515625" style="145" customWidth="1"/>
    <col min="11" max="16384" width="9.140625" style="145" customWidth="1"/>
  </cols>
  <sheetData>
    <row r="1" spans="1:10" ht="15" customHeight="1">
      <c r="A1" s="517" t="s">
        <v>235</v>
      </c>
      <c r="B1" s="517"/>
      <c r="C1" s="517"/>
      <c r="D1" s="517"/>
      <c r="E1" s="517"/>
      <c r="F1" s="517"/>
      <c r="G1" s="517"/>
      <c r="H1" s="517"/>
      <c r="I1" s="517"/>
      <c r="J1" s="517"/>
    </row>
    <row r="3" spans="1:10" ht="12.75">
      <c r="A3" s="518" t="s">
        <v>157</v>
      </c>
      <c r="B3" s="541" t="s">
        <v>349</v>
      </c>
      <c r="C3" s="532"/>
      <c r="D3" s="532"/>
      <c r="E3" s="541" t="s">
        <v>348</v>
      </c>
      <c r="F3" s="532"/>
      <c r="G3" s="532"/>
      <c r="H3" s="533" t="s">
        <v>58</v>
      </c>
      <c r="I3" s="533"/>
      <c r="J3" s="533"/>
    </row>
    <row r="4" spans="1:10" ht="12.75">
      <c r="A4" s="540"/>
      <c r="B4" s="146" t="s">
        <v>1</v>
      </c>
      <c r="C4" s="146" t="s">
        <v>59</v>
      </c>
      <c r="D4" s="146" t="s">
        <v>60</v>
      </c>
      <c r="E4" s="146" t="s">
        <v>1</v>
      </c>
      <c r="F4" s="146" t="s">
        <v>59</v>
      </c>
      <c r="G4" s="146" t="s">
        <v>60</v>
      </c>
      <c r="H4" s="532" t="s">
        <v>296</v>
      </c>
      <c r="I4" s="532"/>
      <c r="J4" s="532"/>
    </row>
    <row r="5" spans="1:10" ht="12.75">
      <c r="A5" s="121"/>
      <c r="B5" s="147" t="s">
        <v>61</v>
      </c>
      <c r="C5" s="147" t="s">
        <v>62</v>
      </c>
      <c r="D5" s="148" t="s">
        <v>63</v>
      </c>
      <c r="E5" s="147" t="s">
        <v>61</v>
      </c>
      <c r="F5" s="147" t="s">
        <v>62</v>
      </c>
      <c r="G5" s="146" t="s">
        <v>63</v>
      </c>
      <c r="H5" s="147" t="s">
        <v>1</v>
      </c>
      <c r="I5" s="147" t="s">
        <v>59</v>
      </c>
      <c r="J5" s="118" t="s">
        <v>60</v>
      </c>
    </row>
    <row r="6" spans="1:10" ht="13.5" customHeight="1">
      <c r="A6" s="116" t="s">
        <v>147</v>
      </c>
      <c r="B6" s="116">
        <f>'Total Exp.sacas'!B6</f>
        <v>3646195</v>
      </c>
      <c r="C6" s="116">
        <v>1280532</v>
      </c>
      <c r="D6" s="149">
        <f>(B6*1000)/C6</f>
        <v>2847.4063904689615</v>
      </c>
      <c r="E6" s="116">
        <f>'Total Exp.sacas'!E6</f>
        <v>3076674</v>
      </c>
      <c r="F6" s="116">
        <v>1062394</v>
      </c>
      <c r="G6" s="149">
        <f>(E6*1000)/F6</f>
        <v>2895.982093272364</v>
      </c>
      <c r="H6" s="150">
        <f aca="true" t="shared" si="0" ref="H6:J7">SUM(B6-E6)*100/E6</f>
        <v>18.510930959861202</v>
      </c>
      <c r="I6" s="150">
        <f t="shared" si="0"/>
        <v>20.532683731271074</v>
      </c>
      <c r="J6" s="150">
        <f t="shared" si="0"/>
        <v>-1.6773481754686457</v>
      </c>
    </row>
    <row r="7" spans="1:10" ht="13.5" customHeight="1">
      <c r="A7" s="116" t="s">
        <v>64</v>
      </c>
      <c r="B7" s="116">
        <f>'Total Exp.sacas'!B7</f>
        <v>373408</v>
      </c>
      <c r="C7" s="116">
        <v>50613</v>
      </c>
      <c r="D7" s="149">
        <f>(B7*1000)/C7</f>
        <v>7377.709284176002</v>
      </c>
      <c r="E7" s="116">
        <f>'Total Exp.sacas'!E7</f>
        <v>429699</v>
      </c>
      <c r="F7" s="116">
        <v>51960</v>
      </c>
      <c r="G7" s="149">
        <f>(E7*1000)/F7</f>
        <v>8269.803695150116</v>
      </c>
      <c r="H7" s="150">
        <f t="shared" si="0"/>
        <v>-13.100100302770079</v>
      </c>
      <c r="I7" s="150">
        <f t="shared" si="0"/>
        <v>-2.592378752886836</v>
      </c>
      <c r="J7" s="150">
        <f t="shared" si="0"/>
        <v>-10.78737106537715</v>
      </c>
    </row>
    <row r="8" spans="1:10" ht="13.5" customHeight="1">
      <c r="A8" s="116" t="s">
        <v>242</v>
      </c>
      <c r="B8" s="116">
        <f>'Total Exp.sacas'!B8</f>
        <v>7631</v>
      </c>
      <c r="C8" s="116">
        <v>1005</v>
      </c>
      <c r="D8" s="149">
        <f>(B8*1000)/C8</f>
        <v>7593.034825870647</v>
      </c>
      <c r="E8" s="116">
        <f>'Total Exp.sacas'!E8</f>
        <v>9528.142</v>
      </c>
      <c r="F8" s="116">
        <v>1213</v>
      </c>
      <c r="G8" s="149">
        <f>(E8*1000)/F8</f>
        <v>7855.022258862325</v>
      </c>
      <c r="H8" s="150">
        <f aca="true" t="shared" si="1" ref="H8:J9">SUM(B8-E8)*100/E8</f>
        <v>-19.910933317324613</v>
      </c>
      <c r="I8" s="150">
        <f t="shared" si="1"/>
        <v>-17.147568013190437</v>
      </c>
      <c r="J8" s="150">
        <f t="shared" si="1"/>
        <v>-3.3352856854873147</v>
      </c>
    </row>
    <row r="9" spans="1:10" ht="13.5" customHeight="1">
      <c r="A9" s="287" t="s">
        <v>213</v>
      </c>
      <c r="B9" s="116">
        <f>'Total Exp.sacas'!B9</f>
        <v>33708</v>
      </c>
      <c r="C9" s="116">
        <v>5980</v>
      </c>
      <c r="D9" s="149">
        <f>(B9*1000)/C9</f>
        <v>5636.789297658863</v>
      </c>
      <c r="E9" s="116">
        <f>'Total Exp.sacas'!E9</f>
        <v>20035</v>
      </c>
      <c r="F9" s="116">
        <v>2999</v>
      </c>
      <c r="G9" s="149">
        <f>(E9*1000)/F9</f>
        <v>6680.56018672891</v>
      </c>
      <c r="H9" s="150">
        <f t="shared" si="1"/>
        <v>68.2455702520589</v>
      </c>
      <c r="I9" s="150">
        <f t="shared" si="1"/>
        <v>99.3997999333111</v>
      </c>
      <c r="J9" s="150">
        <f t="shared" si="1"/>
        <v>-15.62400247727013</v>
      </c>
    </row>
    <row r="10" spans="1:10" ht="13.5" customHeight="1">
      <c r="A10" s="365" t="s">
        <v>236</v>
      </c>
      <c r="B10" s="116">
        <v>0.8230000000000001</v>
      </c>
      <c r="C10" s="116">
        <v>0.24600000000000002</v>
      </c>
      <c r="D10" s="149">
        <f>(B10*1000)/C10</f>
        <v>3345.528455284553</v>
      </c>
      <c r="E10" s="116">
        <f>'Total Exp.sacas'!E10</f>
        <v>0.525</v>
      </c>
      <c r="F10" s="116">
        <v>0.15</v>
      </c>
      <c r="G10" s="149">
        <f>(E10*1000)/F10</f>
        <v>3500</v>
      </c>
      <c r="H10" s="150">
        <f>SUM(B10-E10)*100/E10</f>
        <v>56.761904761904766</v>
      </c>
      <c r="I10" s="150">
        <f>SUM(C10-F10)*100/F10</f>
        <v>64.00000000000003</v>
      </c>
      <c r="J10" s="150">
        <f>SUM(D10-G10)*100/G10</f>
        <v>-4.413472706155634</v>
      </c>
    </row>
    <row r="11" spans="1:10" ht="12.75">
      <c r="A11" s="151" t="s">
        <v>2</v>
      </c>
      <c r="B11" s="152">
        <f>SUM(B6:B10)</f>
        <v>4060942.823</v>
      </c>
      <c r="C11" s="152">
        <f>SUM(C6:C10)</f>
        <v>1338130.246</v>
      </c>
      <c r="D11" s="153">
        <v>0</v>
      </c>
      <c r="E11" s="152">
        <f>SUM(E6:E10)</f>
        <v>3535936.667</v>
      </c>
      <c r="F11" s="152">
        <f>SUM(F6:F10)</f>
        <v>1118566.15</v>
      </c>
      <c r="G11" s="153">
        <v>0</v>
      </c>
      <c r="H11" s="154">
        <f>SUM(B11-E11)*100/E11</f>
        <v>14.84772509925727</v>
      </c>
      <c r="I11" s="154">
        <f>SUM(C11-F11)*100/F11</f>
        <v>19.62906672975936</v>
      </c>
      <c r="J11" s="153">
        <v>0</v>
      </c>
    </row>
    <row r="12" spans="1:10" ht="12" customHeight="1">
      <c r="A12" s="4" t="s">
        <v>155</v>
      </c>
      <c r="B12" s="3"/>
      <c r="C12" s="3"/>
      <c r="D12" s="3"/>
      <c r="E12" s="3"/>
      <c r="F12" s="3"/>
      <c r="G12" s="38"/>
      <c r="H12" s="3"/>
      <c r="I12" s="3"/>
      <c r="J12" s="3"/>
    </row>
    <row r="13" spans="1:10" ht="12" customHeight="1">
      <c r="A13" s="247" t="s">
        <v>196</v>
      </c>
      <c r="B13" s="3"/>
      <c r="C13" s="3"/>
      <c r="D13" s="3"/>
      <c r="E13" s="3"/>
      <c r="F13" s="3"/>
      <c r="G13" s="38"/>
      <c r="H13" s="3"/>
      <c r="I13" s="3"/>
      <c r="J13" s="3"/>
    </row>
    <row r="14" spans="1:10" ht="12" customHeight="1">
      <c r="A14" s="247" t="s">
        <v>175</v>
      </c>
      <c r="B14" s="3"/>
      <c r="C14" s="3"/>
      <c r="D14" s="3"/>
      <c r="E14" s="3"/>
      <c r="F14" s="3"/>
      <c r="G14" s="38"/>
      <c r="H14" s="3"/>
      <c r="I14" s="3"/>
      <c r="J14" s="3"/>
    </row>
    <row r="15" spans="1:10" ht="12" customHeight="1">
      <c r="A15" s="247" t="s">
        <v>176</v>
      </c>
      <c r="B15" s="3"/>
      <c r="C15" s="3"/>
      <c r="D15" s="3"/>
      <c r="E15" s="3"/>
      <c r="F15" s="3"/>
      <c r="G15" s="38"/>
      <c r="H15" s="3"/>
      <c r="I15" s="3"/>
      <c r="J15" s="3"/>
    </row>
    <row r="16" spans="1:10" ht="12" customHeight="1">
      <c r="A16" s="247" t="s">
        <v>212</v>
      </c>
      <c r="B16" s="3"/>
      <c r="C16" s="3"/>
      <c r="D16" s="3"/>
      <c r="E16" s="3"/>
      <c r="F16" s="3"/>
      <c r="G16" s="38"/>
      <c r="H16" s="3"/>
      <c r="I16" s="3"/>
      <c r="J16" s="3"/>
    </row>
    <row r="17" spans="1:10" ht="12" customHeight="1">
      <c r="A17" s="247"/>
      <c r="B17" s="3"/>
      <c r="C17" s="3"/>
      <c r="D17" s="3"/>
      <c r="E17" s="3"/>
      <c r="F17" s="3"/>
      <c r="G17" s="38"/>
      <c r="H17" s="3"/>
      <c r="I17" s="3"/>
      <c r="J17" s="3"/>
    </row>
    <row r="18" spans="1:10" ht="12.75">
      <c r="A18" s="537" t="s">
        <v>163</v>
      </c>
      <c r="B18" s="537"/>
      <c r="C18" s="537"/>
      <c r="D18" s="537"/>
      <c r="E18" s="537"/>
      <c r="F18" s="537"/>
      <c r="G18" s="537"/>
      <c r="H18" s="537"/>
      <c r="I18" s="537"/>
      <c r="J18" s="537"/>
    </row>
    <row r="19" spans="1:10" ht="12.75">
      <c r="A19" s="537" t="s">
        <v>65</v>
      </c>
      <c r="B19" s="537"/>
      <c r="C19" s="537"/>
      <c r="D19" s="537"/>
      <c r="E19" s="537"/>
      <c r="F19" s="537"/>
      <c r="G19" s="537"/>
      <c r="H19" s="537"/>
      <c r="I19" s="537"/>
      <c r="J19" s="537"/>
    </row>
    <row r="20" spans="1:10" ht="12.75">
      <c r="A20" s="15"/>
      <c r="B20" s="15"/>
      <c r="C20" s="15"/>
      <c r="D20" s="15"/>
      <c r="E20" s="15"/>
      <c r="F20" s="15"/>
      <c r="G20" s="37"/>
      <c r="H20" s="15"/>
      <c r="I20" s="15"/>
      <c r="J20" s="15"/>
    </row>
    <row r="21" spans="1:10" ht="12.75">
      <c r="A21" s="538" t="s">
        <v>162</v>
      </c>
      <c r="B21" s="539"/>
      <c r="C21" s="539"/>
      <c r="D21" s="15"/>
      <c r="E21" s="15"/>
      <c r="F21" s="15"/>
      <c r="G21" s="37"/>
      <c r="H21" s="15"/>
      <c r="I21" s="15"/>
      <c r="J21" s="15"/>
    </row>
    <row r="22" spans="1:10" ht="12.75">
      <c r="A22" s="3"/>
      <c r="B22" s="3"/>
      <c r="C22" s="3"/>
      <c r="D22" s="3"/>
      <c r="E22" s="3"/>
      <c r="F22" s="3"/>
      <c r="G22" s="38"/>
      <c r="H22" s="3"/>
      <c r="I22" s="3"/>
      <c r="J22" s="3"/>
    </row>
    <row r="23" spans="1:10" ht="12.75">
      <c r="A23" s="518" t="s">
        <v>66</v>
      </c>
      <c r="B23" s="531" t="str">
        <f>B3</f>
        <v>Jan a Ago/14</v>
      </c>
      <c r="C23" s="532"/>
      <c r="D23" s="532"/>
      <c r="E23" s="531" t="str">
        <f>E3</f>
        <v>Jan a Ago/13</v>
      </c>
      <c r="F23" s="532"/>
      <c r="G23" s="532"/>
      <c r="H23" s="533" t="s">
        <v>58</v>
      </c>
      <c r="I23" s="533"/>
      <c r="J23" s="533"/>
    </row>
    <row r="24" spans="1:10" ht="12.75">
      <c r="A24" s="530"/>
      <c r="B24" s="155" t="s">
        <v>1</v>
      </c>
      <c r="C24" s="147" t="s">
        <v>67</v>
      </c>
      <c r="D24" s="148" t="s">
        <v>60</v>
      </c>
      <c r="E24" s="147" t="s">
        <v>1</v>
      </c>
      <c r="F24" s="147" t="s">
        <v>67</v>
      </c>
      <c r="G24" s="146" t="s">
        <v>60</v>
      </c>
      <c r="H24" s="533" t="str">
        <f>H4</f>
        <v>(14/13)</v>
      </c>
      <c r="I24" s="533"/>
      <c r="J24" s="533"/>
    </row>
    <row r="25" spans="1:10" ht="12.75">
      <c r="A25" s="156"/>
      <c r="B25" s="157" t="s">
        <v>68</v>
      </c>
      <c r="C25" s="158" t="s">
        <v>62</v>
      </c>
      <c r="D25" s="159" t="s">
        <v>63</v>
      </c>
      <c r="E25" s="157" t="s">
        <v>68</v>
      </c>
      <c r="F25" s="158" t="s">
        <v>62</v>
      </c>
      <c r="G25" s="160" t="s">
        <v>63</v>
      </c>
      <c r="H25" s="158" t="s">
        <v>1</v>
      </c>
      <c r="I25" s="158" t="s">
        <v>59</v>
      </c>
      <c r="J25" s="156" t="s">
        <v>60</v>
      </c>
    </row>
    <row r="26" spans="1:10" ht="12.75">
      <c r="A26" s="161"/>
      <c r="B26" s="162"/>
      <c r="C26" s="162"/>
      <c r="D26" s="163"/>
      <c r="E26" s="162"/>
      <c r="F26" s="162"/>
      <c r="G26" s="164"/>
      <c r="H26" s="162"/>
      <c r="I26" s="162"/>
      <c r="J26" s="163"/>
    </row>
    <row r="27" spans="1:10" ht="12.75">
      <c r="A27" s="116" t="s">
        <v>246</v>
      </c>
      <c r="B27" s="116">
        <v>789372.359</v>
      </c>
      <c r="C27" s="116">
        <v>264592.89</v>
      </c>
      <c r="D27" s="163">
        <f aca="true" t="shared" si="2" ref="D27:D43">(B27*1000)/C27</f>
        <v>2983.3468276490726</v>
      </c>
      <c r="E27" s="116">
        <v>571167.551</v>
      </c>
      <c r="F27" s="116">
        <v>200504.338</v>
      </c>
      <c r="G27" s="163">
        <f aca="true" t="shared" si="3" ref="G27:G43">(E27*1000)/F27</f>
        <v>2848.6543318578974</v>
      </c>
      <c r="H27" s="150">
        <f aca="true" t="shared" si="4" ref="H27:H43">SUM(B27-E27)*100/E27</f>
        <v>38.20329211944326</v>
      </c>
      <c r="I27" s="150">
        <f aca="true" t="shared" si="5" ref="I27:I43">SUM(C27-F27)*100/F27</f>
        <v>31.963673524111</v>
      </c>
      <c r="J27" s="150">
        <f aca="true" t="shared" si="6" ref="J27:J43">SUM(D27-G27)*100/G27</f>
        <v>4.728285011096045</v>
      </c>
    </row>
    <row r="28" spans="1:10" ht="12.75">
      <c r="A28" s="116" t="s">
        <v>247</v>
      </c>
      <c r="B28" s="116">
        <v>785863.023</v>
      </c>
      <c r="C28" s="116">
        <v>279309.48</v>
      </c>
      <c r="D28" s="163">
        <f t="shared" si="2"/>
        <v>2813.592374308241</v>
      </c>
      <c r="E28" s="116">
        <v>601044.822</v>
      </c>
      <c r="F28" s="116">
        <v>213690.345</v>
      </c>
      <c r="G28" s="163">
        <f t="shared" si="3"/>
        <v>2812.6905874011295</v>
      </c>
      <c r="H28" s="150">
        <f t="shared" si="4"/>
        <v>30.74948726536072</v>
      </c>
      <c r="I28" s="150">
        <f t="shared" si="5"/>
        <v>30.707580634960358</v>
      </c>
      <c r="J28" s="150">
        <f t="shared" si="6"/>
        <v>0.032061361855820265</v>
      </c>
    </row>
    <row r="29" spans="1:10" ht="12.75">
      <c r="A29" s="116" t="s">
        <v>249</v>
      </c>
      <c r="B29" s="116">
        <v>321185.507</v>
      </c>
      <c r="C29" s="116">
        <v>105643.111</v>
      </c>
      <c r="D29" s="163">
        <f t="shared" si="2"/>
        <v>3040.2882304365307</v>
      </c>
      <c r="E29" s="116">
        <v>302891.027</v>
      </c>
      <c r="F29" s="116">
        <v>101994.317</v>
      </c>
      <c r="G29" s="163">
        <f t="shared" si="3"/>
        <v>2969.685330605234</v>
      </c>
      <c r="H29" s="150">
        <f t="shared" si="4"/>
        <v>6.039954428891015</v>
      </c>
      <c r="I29" s="150">
        <f t="shared" si="5"/>
        <v>3.5774483395972045</v>
      </c>
      <c r="J29" s="150">
        <f t="shared" si="6"/>
        <v>2.3774539040776963</v>
      </c>
    </row>
    <row r="30" spans="1:10" ht="12.75">
      <c r="A30" s="116" t="s">
        <v>250</v>
      </c>
      <c r="B30" s="116">
        <v>283736.037</v>
      </c>
      <c r="C30" s="116">
        <v>98630.47</v>
      </c>
      <c r="D30" s="163">
        <f t="shared" si="2"/>
        <v>2876.7584398614345</v>
      </c>
      <c r="E30" s="116">
        <v>231866.889</v>
      </c>
      <c r="F30" s="116">
        <v>73328.439</v>
      </c>
      <c r="G30" s="163">
        <f t="shared" si="3"/>
        <v>3162.0322505433396</v>
      </c>
      <c r="H30" s="150">
        <f t="shared" si="4"/>
        <v>22.3702263931268</v>
      </c>
      <c r="I30" s="150">
        <f t="shared" si="5"/>
        <v>34.5050724453578</v>
      </c>
      <c r="J30" s="150">
        <f t="shared" si="6"/>
        <v>-9.021850129228943</v>
      </c>
    </row>
    <row r="31" spans="1:10" ht="12.75">
      <c r="A31" s="116" t="s">
        <v>248</v>
      </c>
      <c r="B31" s="116">
        <v>253630.547</v>
      </c>
      <c r="C31" s="116">
        <v>78420.889</v>
      </c>
      <c r="D31" s="163">
        <f t="shared" si="2"/>
        <v>3234.2217773124203</v>
      </c>
      <c r="E31" s="116">
        <v>301412.891</v>
      </c>
      <c r="F31" s="116">
        <v>90463.162</v>
      </c>
      <c r="G31" s="163">
        <f t="shared" si="3"/>
        <v>3331.8854253624254</v>
      </c>
      <c r="H31" s="150">
        <f t="shared" si="4"/>
        <v>-15.852787132452146</v>
      </c>
      <c r="I31" s="150">
        <f t="shared" si="5"/>
        <v>-13.311797569048052</v>
      </c>
      <c r="J31" s="150">
        <f t="shared" si="6"/>
        <v>-2.931182666324181</v>
      </c>
    </row>
    <row r="32" spans="1:10" ht="12.75">
      <c r="A32" s="116" t="s">
        <v>254</v>
      </c>
      <c r="B32" s="116">
        <v>87105.085</v>
      </c>
      <c r="C32" s="116">
        <v>28981.03</v>
      </c>
      <c r="D32" s="163">
        <f t="shared" si="2"/>
        <v>3005.589690911607</v>
      </c>
      <c r="E32" s="116">
        <v>58282.703</v>
      </c>
      <c r="F32" s="116">
        <v>19305.24</v>
      </c>
      <c r="G32" s="163">
        <f t="shared" si="3"/>
        <v>3019.009502083372</v>
      </c>
      <c r="H32" s="150">
        <f t="shared" si="4"/>
        <v>49.452720132077616</v>
      </c>
      <c r="I32" s="150">
        <f t="shared" si="5"/>
        <v>50.12001922794017</v>
      </c>
      <c r="J32" s="150">
        <f t="shared" si="6"/>
        <v>-0.44451039860935515</v>
      </c>
    </row>
    <row r="33" spans="1:10" ht="12.75">
      <c r="A33" s="116" t="s">
        <v>251</v>
      </c>
      <c r="B33" s="116">
        <v>81923.819</v>
      </c>
      <c r="C33" s="116">
        <v>29643.554</v>
      </c>
      <c r="D33" s="163">
        <f t="shared" si="2"/>
        <v>2763.6301301793974</v>
      </c>
      <c r="E33" s="116">
        <v>80736.627</v>
      </c>
      <c r="F33" s="116">
        <v>27885.453</v>
      </c>
      <c r="G33" s="163">
        <f t="shared" si="3"/>
        <v>2895.295514833487</v>
      </c>
      <c r="H33" s="150">
        <f t="shared" si="4"/>
        <v>1.4704503322884792</v>
      </c>
      <c r="I33" s="150">
        <f t="shared" si="5"/>
        <v>6.304724545805294</v>
      </c>
      <c r="J33" s="150">
        <f t="shared" si="6"/>
        <v>-4.547562899176517</v>
      </c>
    </row>
    <row r="34" spans="1:10" ht="12.75">
      <c r="A34" s="116" t="s">
        <v>268</v>
      </c>
      <c r="B34" s="116">
        <v>73856.2</v>
      </c>
      <c r="C34" s="116">
        <v>29618.944</v>
      </c>
      <c r="D34" s="163">
        <f t="shared" si="2"/>
        <v>2493.546022437532</v>
      </c>
      <c r="E34" s="116">
        <v>7587.625</v>
      </c>
      <c r="F34" s="116">
        <v>3199.6</v>
      </c>
      <c r="G34" s="163">
        <f t="shared" si="3"/>
        <v>2371.4292411551446</v>
      </c>
      <c r="H34" s="150">
        <f>SUM(B34-E34)*100/E34</f>
        <v>873.377044859228</v>
      </c>
      <c r="I34" s="150">
        <f t="shared" si="5"/>
        <v>825.707713464183</v>
      </c>
      <c r="J34" s="150">
        <f t="shared" si="6"/>
        <v>5.14950137086541</v>
      </c>
    </row>
    <row r="35" spans="1:10" ht="12.75">
      <c r="A35" s="116" t="s">
        <v>257</v>
      </c>
      <c r="B35" s="116">
        <v>73706.181</v>
      </c>
      <c r="C35" s="116">
        <v>24877.604</v>
      </c>
      <c r="D35" s="163">
        <f t="shared" si="2"/>
        <v>2962.752401718429</v>
      </c>
      <c r="E35" s="116">
        <v>57165.892</v>
      </c>
      <c r="F35" s="116">
        <v>17907.173</v>
      </c>
      <c r="G35" s="163">
        <f t="shared" si="3"/>
        <v>3192.345994535263</v>
      </c>
      <c r="H35" s="150">
        <f t="shared" si="4"/>
        <v>28.93384222885912</v>
      </c>
      <c r="I35" s="150">
        <f t="shared" si="5"/>
        <v>38.92535689469243</v>
      </c>
      <c r="J35" s="150">
        <f t="shared" si="6"/>
        <v>-7.1920021579696485</v>
      </c>
    </row>
    <row r="36" spans="1:10" ht="12.75">
      <c r="A36" s="116" t="s">
        <v>253</v>
      </c>
      <c r="B36" s="116">
        <v>73384.067</v>
      </c>
      <c r="C36" s="116">
        <v>25084.42</v>
      </c>
      <c r="D36" s="163">
        <f t="shared" si="2"/>
        <v>2925.4839059464002</v>
      </c>
      <c r="E36" s="116">
        <v>73533.142</v>
      </c>
      <c r="F36" s="116">
        <v>26065.1</v>
      </c>
      <c r="G36" s="163">
        <f t="shared" si="3"/>
        <v>2821.134083506298</v>
      </c>
      <c r="H36" s="150">
        <f t="shared" si="4"/>
        <v>-0.20273171517682684</v>
      </c>
      <c r="I36" s="150">
        <f t="shared" si="5"/>
        <v>-3.7624256189310623</v>
      </c>
      <c r="J36" s="150">
        <f t="shared" si="6"/>
        <v>3.6988607897150803</v>
      </c>
    </row>
    <row r="37" spans="1:10" ht="12.75">
      <c r="A37" s="116" t="s">
        <v>252</v>
      </c>
      <c r="B37" s="116">
        <v>71875.036</v>
      </c>
      <c r="C37" s="116">
        <v>26203.68</v>
      </c>
      <c r="D37" s="163">
        <f t="shared" si="2"/>
        <v>2742.936717285511</v>
      </c>
      <c r="E37" s="116">
        <v>65644.072</v>
      </c>
      <c r="F37" s="116">
        <v>23355.6</v>
      </c>
      <c r="G37" s="163">
        <f t="shared" si="3"/>
        <v>2810.635222387779</v>
      </c>
      <c r="H37" s="150">
        <f t="shared" si="4"/>
        <v>9.492043698934447</v>
      </c>
      <c r="I37" s="150">
        <f t="shared" si="5"/>
        <v>12.194420181883583</v>
      </c>
      <c r="J37" s="150">
        <f t="shared" si="6"/>
        <v>-2.4086549746129853</v>
      </c>
    </row>
    <row r="38" spans="1:10" ht="12.75">
      <c r="A38" s="116" t="s">
        <v>255</v>
      </c>
      <c r="B38" s="116">
        <v>69226.764</v>
      </c>
      <c r="C38" s="116">
        <v>20956.8</v>
      </c>
      <c r="D38" s="163">
        <f t="shared" si="2"/>
        <v>3303.3079477782867</v>
      </c>
      <c r="E38" s="116">
        <v>60255.795</v>
      </c>
      <c r="F38" s="116">
        <v>19070.1</v>
      </c>
      <c r="G38" s="163">
        <f t="shared" si="3"/>
        <v>3159.7000015731437</v>
      </c>
      <c r="H38" s="150">
        <f t="shared" si="4"/>
        <v>14.888143123827339</v>
      </c>
      <c r="I38" s="150">
        <f t="shared" si="5"/>
        <v>9.893498198750928</v>
      </c>
      <c r="J38" s="150">
        <f t="shared" si="6"/>
        <v>4.544986743477033</v>
      </c>
    </row>
    <row r="39" spans="1:10" ht="12.75">
      <c r="A39" s="116" t="s">
        <v>279</v>
      </c>
      <c r="B39" s="116">
        <v>62406.803</v>
      </c>
      <c r="C39" s="116">
        <v>30938.4</v>
      </c>
      <c r="D39" s="163">
        <f t="shared" si="2"/>
        <v>2017.1309117472138</v>
      </c>
      <c r="E39" s="116">
        <v>54053.416</v>
      </c>
      <c r="F39" s="116">
        <v>22251.3</v>
      </c>
      <c r="G39" s="163">
        <f t="shared" si="3"/>
        <v>2429.225078984149</v>
      </c>
      <c r="H39" s="150">
        <f t="shared" si="4"/>
        <v>15.453948368406545</v>
      </c>
      <c r="I39" s="150">
        <f t="shared" si="5"/>
        <v>39.04086502811073</v>
      </c>
      <c r="J39" s="150">
        <f t="shared" si="6"/>
        <v>-16.964017488624993</v>
      </c>
    </row>
    <row r="40" spans="1:10" ht="12.75">
      <c r="A40" s="116" t="s">
        <v>258</v>
      </c>
      <c r="B40" s="116">
        <v>56267.233</v>
      </c>
      <c r="C40" s="116">
        <v>18997.399</v>
      </c>
      <c r="D40" s="163">
        <f t="shared" si="2"/>
        <v>2961.838775929273</v>
      </c>
      <c r="E40" s="116">
        <v>37931.505</v>
      </c>
      <c r="F40" s="116">
        <v>13694.872</v>
      </c>
      <c r="G40" s="163">
        <f t="shared" si="3"/>
        <v>2769.7597319639062</v>
      </c>
      <c r="H40" s="150">
        <f t="shared" si="4"/>
        <v>48.33904692154979</v>
      </c>
      <c r="I40" s="150">
        <f t="shared" si="5"/>
        <v>38.719069444387664</v>
      </c>
      <c r="J40" s="150">
        <f t="shared" si="6"/>
        <v>6.934863040599292</v>
      </c>
    </row>
    <row r="41" spans="1:10" ht="12.75">
      <c r="A41" s="116" t="s">
        <v>256</v>
      </c>
      <c r="B41" s="116">
        <v>54411.681</v>
      </c>
      <c r="C41" s="116">
        <v>23448.26</v>
      </c>
      <c r="D41" s="163">
        <f t="shared" si="2"/>
        <v>2320.4997300439354</v>
      </c>
      <c r="E41" s="116">
        <v>57457.319</v>
      </c>
      <c r="F41" s="116">
        <v>21769.88</v>
      </c>
      <c r="G41" s="163">
        <f t="shared" si="3"/>
        <v>2639.3034320813895</v>
      </c>
      <c r="H41" s="150">
        <f t="shared" si="4"/>
        <v>-5.300696330784258</v>
      </c>
      <c r="I41" s="150">
        <f t="shared" si="5"/>
        <v>7.709642864361206</v>
      </c>
      <c r="J41" s="150">
        <f t="shared" si="6"/>
        <v>-12.079084888926214</v>
      </c>
    </row>
    <row r="42" spans="1:10" ht="12.75">
      <c r="A42" s="165" t="s">
        <v>15</v>
      </c>
      <c r="B42" s="165">
        <f>SUM(B26:B41)</f>
        <v>3137950.3419999992</v>
      </c>
      <c r="C42" s="165">
        <f>SUM(C26:C41)</f>
        <v>1085346.9310000003</v>
      </c>
      <c r="D42" s="166">
        <f t="shared" si="2"/>
        <v>2891.1956650661023</v>
      </c>
      <c r="E42" s="165">
        <f>SUM(E26:E41)</f>
        <v>2561031.2760000005</v>
      </c>
      <c r="F42" s="165">
        <f>SUM(F26:F41)</f>
        <v>874484.9189999998</v>
      </c>
      <c r="G42" s="166">
        <f t="shared" si="3"/>
        <v>2928.6168581713428</v>
      </c>
      <c r="H42" s="167">
        <f t="shared" si="4"/>
        <v>22.526826259657074</v>
      </c>
      <c r="I42" s="167">
        <f t="shared" si="5"/>
        <v>24.112709941427887</v>
      </c>
      <c r="J42" s="167">
        <f t="shared" si="6"/>
        <v>-1.2777770161647792</v>
      </c>
    </row>
    <row r="43" spans="1:10" ht="12.75">
      <c r="A43" s="168" t="s">
        <v>270</v>
      </c>
      <c r="B43" s="162">
        <f>B45-B42</f>
        <v>508244.65800000075</v>
      </c>
      <c r="C43" s="162">
        <f>C45-C42</f>
        <v>195185.06899999967</v>
      </c>
      <c r="D43" s="163">
        <f t="shared" si="2"/>
        <v>2603.9115625181435</v>
      </c>
      <c r="E43" s="162">
        <f>E45-E42</f>
        <v>515642.72399999946</v>
      </c>
      <c r="F43" s="162">
        <f>F45-F42</f>
        <v>187909.08100000024</v>
      </c>
      <c r="G43" s="163">
        <f t="shared" si="3"/>
        <v>2744.107529321581</v>
      </c>
      <c r="H43" s="150">
        <f t="shared" si="4"/>
        <v>-1.4347271193142481</v>
      </c>
      <c r="I43" s="150">
        <f t="shared" si="5"/>
        <v>3.8720789656777796</v>
      </c>
      <c r="J43" s="150">
        <f t="shared" si="6"/>
        <v>-5.108982257633968</v>
      </c>
    </row>
    <row r="44" spans="1:10" ht="12.75">
      <c r="A44" s="168"/>
      <c r="B44" s="162"/>
      <c r="C44" s="169"/>
      <c r="D44" s="169"/>
      <c r="E44" s="169"/>
      <c r="F44" s="169"/>
      <c r="G44" s="170"/>
      <c r="H44" s="150"/>
      <c r="I44" s="150"/>
      <c r="J44" s="150"/>
    </row>
    <row r="45" spans="1:10" ht="12.75">
      <c r="A45" s="171" t="s">
        <v>69</v>
      </c>
      <c r="B45" s="172">
        <f>B6</f>
        <v>3646195</v>
      </c>
      <c r="C45" s="173">
        <f>C6</f>
        <v>1280532</v>
      </c>
      <c r="D45" s="174">
        <f>(B45*1000)/C45</f>
        <v>2847.4063904689615</v>
      </c>
      <c r="E45" s="173">
        <f>E6</f>
        <v>3076674</v>
      </c>
      <c r="F45" s="173">
        <f>F6</f>
        <v>1062394</v>
      </c>
      <c r="G45" s="174">
        <f>(E45*1000)/F45</f>
        <v>2895.982093272364</v>
      </c>
      <c r="H45" s="154">
        <f>SUM(B45-E45)*100/E45</f>
        <v>18.510930959861202</v>
      </c>
      <c r="I45" s="154">
        <f>SUM(C45-F45)*100/F45</f>
        <v>20.532683731271074</v>
      </c>
      <c r="J45" s="154">
        <f>SUM(D45-G45)*100/G45</f>
        <v>-1.6773481754686457</v>
      </c>
    </row>
    <row r="46" spans="1:10" ht="12" customHeight="1">
      <c r="A46" s="4" t="s">
        <v>155</v>
      </c>
      <c r="B46" s="3"/>
      <c r="C46" s="3"/>
      <c r="D46" s="3"/>
      <c r="E46" s="3"/>
      <c r="F46" s="3"/>
      <c r="G46" s="38"/>
      <c r="H46" s="3"/>
      <c r="I46" s="3"/>
      <c r="J46" s="3"/>
    </row>
    <row r="47" spans="1:10" ht="12.75">
      <c r="A47" s="537" t="s">
        <v>70</v>
      </c>
      <c r="B47" s="537"/>
      <c r="C47" s="537"/>
      <c r="D47" s="537"/>
      <c r="E47" s="537"/>
      <c r="F47" s="537"/>
      <c r="G47" s="537"/>
      <c r="H47" s="537"/>
      <c r="I47" s="537"/>
      <c r="J47" s="537"/>
    </row>
    <row r="48" spans="1:10" ht="12.75">
      <c r="A48" s="537" t="s">
        <v>65</v>
      </c>
      <c r="B48" s="537"/>
      <c r="C48" s="537"/>
      <c r="D48" s="537"/>
      <c r="E48" s="537"/>
      <c r="F48" s="537"/>
      <c r="G48" s="537"/>
      <c r="H48" s="537"/>
      <c r="I48" s="537"/>
      <c r="J48" s="537"/>
    </row>
    <row r="49" spans="1:10" ht="12.75">
      <c r="A49" s="15"/>
      <c r="B49" s="15"/>
      <c r="C49" s="15"/>
      <c r="D49" s="15"/>
      <c r="E49" s="15"/>
      <c r="F49" s="15"/>
      <c r="G49" s="37"/>
      <c r="H49" s="15"/>
      <c r="I49" s="15"/>
      <c r="J49" s="15"/>
    </row>
    <row r="50" spans="1:10" ht="12.75">
      <c r="A50" s="538" t="s">
        <v>71</v>
      </c>
      <c r="B50" s="539"/>
      <c r="C50" s="539"/>
      <c r="D50" s="15"/>
      <c r="E50" s="15"/>
      <c r="F50" s="15"/>
      <c r="G50" s="37"/>
      <c r="H50" s="15"/>
      <c r="I50" s="15"/>
      <c r="J50" s="15"/>
    </row>
    <row r="51" spans="1:10" ht="12.75">
      <c r="A51" s="3"/>
      <c r="B51" s="3"/>
      <c r="C51" s="3"/>
      <c r="D51" s="3"/>
      <c r="E51" s="3"/>
      <c r="F51" s="3"/>
      <c r="G51" s="38"/>
      <c r="H51" s="3"/>
      <c r="I51" s="3"/>
      <c r="J51" s="3"/>
    </row>
    <row r="52" spans="1:10" ht="12.75">
      <c r="A52" s="518" t="s">
        <v>66</v>
      </c>
      <c r="B52" s="531" t="str">
        <f>B3</f>
        <v>Jan a Ago/14</v>
      </c>
      <c r="C52" s="532"/>
      <c r="D52" s="532"/>
      <c r="E52" s="531" t="str">
        <f>E3</f>
        <v>Jan a Ago/13</v>
      </c>
      <c r="F52" s="532"/>
      <c r="G52" s="532"/>
      <c r="H52" s="533" t="s">
        <v>58</v>
      </c>
      <c r="I52" s="533"/>
      <c r="J52" s="533"/>
    </row>
    <row r="53" spans="1:10" ht="12.75">
      <c r="A53" s="530"/>
      <c r="B53" s="155" t="s">
        <v>1</v>
      </c>
      <c r="C53" s="147" t="s">
        <v>67</v>
      </c>
      <c r="D53" s="148" t="s">
        <v>60</v>
      </c>
      <c r="E53" s="147" t="s">
        <v>1</v>
      </c>
      <c r="F53" s="147" t="s">
        <v>67</v>
      </c>
      <c r="G53" s="146" t="s">
        <v>60</v>
      </c>
      <c r="H53" s="533" t="str">
        <f>H4</f>
        <v>(14/13)</v>
      </c>
      <c r="I53" s="533"/>
      <c r="J53" s="533"/>
    </row>
    <row r="54" spans="1:10" ht="12.75">
      <c r="A54" s="156"/>
      <c r="B54" s="155" t="s">
        <v>68</v>
      </c>
      <c r="C54" s="147" t="s">
        <v>62</v>
      </c>
      <c r="D54" s="148" t="s">
        <v>63</v>
      </c>
      <c r="E54" s="147" t="s">
        <v>68</v>
      </c>
      <c r="F54" s="147" t="s">
        <v>62</v>
      </c>
      <c r="G54" s="146" t="s">
        <v>63</v>
      </c>
      <c r="H54" s="147" t="s">
        <v>1</v>
      </c>
      <c r="I54" s="147" t="s">
        <v>59</v>
      </c>
      <c r="J54" s="118" t="s">
        <v>60</v>
      </c>
    </row>
    <row r="55" spans="1:10" ht="12.75">
      <c r="A55" s="161"/>
      <c r="B55" s="162"/>
      <c r="C55" s="162"/>
      <c r="D55" s="163"/>
      <c r="E55" s="162"/>
      <c r="F55" s="162"/>
      <c r="G55" s="164"/>
      <c r="H55" s="162"/>
      <c r="I55" s="162"/>
      <c r="J55" s="163"/>
    </row>
    <row r="56" spans="1:10" ht="12.75">
      <c r="A56" s="116" t="s">
        <v>247</v>
      </c>
      <c r="B56" s="116">
        <v>65541.098</v>
      </c>
      <c r="C56" s="116">
        <v>9651.266</v>
      </c>
      <c r="D56" s="163">
        <f aca="true" t="shared" si="7" ref="D56:D72">(B56*1000)/C56</f>
        <v>6790.932712868965</v>
      </c>
      <c r="E56" s="116">
        <v>76667.923</v>
      </c>
      <c r="F56" s="116">
        <v>9904.343</v>
      </c>
      <c r="G56" s="163">
        <f aca="true" t="shared" si="8" ref="G56:G72">(E56*1000)/F56</f>
        <v>7740.83884211199</v>
      </c>
      <c r="H56" s="150">
        <f aca="true" t="shared" si="9" ref="H56:H72">SUM(B56-E56)*100/E56</f>
        <v>-14.513012175900473</v>
      </c>
      <c r="I56" s="150">
        <f aca="true" t="shared" si="10" ref="I56:I72">SUM(C56-F56)*100/F56</f>
        <v>-2.5552123952088603</v>
      </c>
      <c r="J56" s="150">
        <f aca="true" t="shared" si="11" ref="J56:J72">SUM(D56-G56)*100/G56</f>
        <v>-12.271359068674982</v>
      </c>
    </row>
    <row r="57" spans="1:10" ht="12.75">
      <c r="A57" s="116" t="s">
        <v>258</v>
      </c>
      <c r="B57" s="116">
        <v>41046.644</v>
      </c>
      <c r="C57" s="116">
        <v>5465.974</v>
      </c>
      <c r="D57" s="163">
        <f t="shared" si="7"/>
        <v>7509.483945587739</v>
      </c>
      <c r="E57" s="116">
        <v>51433.08</v>
      </c>
      <c r="F57" s="116">
        <v>5913.61</v>
      </c>
      <c r="G57" s="163">
        <f t="shared" si="8"/>
        <v>8697.40818214255</v>
      </c>
      <c r="H57" s="150">
        <f t="shared" si="9"/>
        <v>-20.194077430323055</v>
      </c>
      <c r="I57" s="150">
        <f t="shared" si="10"/>
        <v>-7.569589472420391</v>
      </c>
      <c r="J57" s="150">
        <f t="shared" si="11"/>
        <v>-13.658370536108073</v>
      </c>
    </row>
    <row r="58" spans="1:10" ht="12.75">
      <c r="A58" s="116" t="s">
        <v>248</v>
      </c>
      <c r="B58" s="116">
        <v>24828.149</v>
      </c>
      <c r="C58" s="116">
        <v>3349.092</v>
      </c>
      <c r="D58" s="163">
        <f t="shared" si="7"/>
        <v>7413.3971237577225</v>
      </c>
      <c r="E58" s="116">
        <v>24909.679</v>
      </c>
      <c r="F58" s="116">
        <v>2971.594</v>
      </c>
      <c r="G58" s="163">
        <f t="shared" si="8"/>
        <v>8382.598363033443</v>
      </c>
      <c r="H58" s="150">
        <f t="shared" si="9"/>
        <v>-0.32730249153350727</v>
      </c>
      <c r="I58" s="150">
        <f t="shared" si="10"/>
        <v>12.70355236953635</v>
      </c>
      <c r="J58" s="150">
        <f t="shared" si="11"/>
        <v>-11.562062230606406</v>
      </c>
    </row>
    <row r="59" spans="1:10" ht="12.75">
      <c r="A59" s="116" t="s">
        <v>260</v>
      </c>
      <c r="B59" s="116">
        <v>24171.845</v>
      </c>
      <c r="C59" s="116">
        <v>3438.498</v>
      </c>
      <c r="D59" s="163">
        <f t="shared" si="7"/>
        <v>7029.768521022842</v>
      </c>
      <c r="E59" s="116">
        <v>25341.242</v>
      </c>
      <c r="F59" s="116">
        <v>3227.175</v>
      </c>
      <c r="G59" s="163">
        <f t="shared" si="8"/>
        <v>7852.453616553177</v>
      </c>
      <c r="H59" s="150">
        <f t="shared" si="9"/>
        <v>-4.614600184158287</v>
      </c>
      <c r="I59" s="150">
        <f t="shared" si="10"/>
        <v>6.54823491133886</v>
      </c>
      <c r="J59" s="150">
        <f t="shared" si="11"/>
        <v>-10.47679025822061</v>
      </c>
    </row>
    <row r="60" spans="1:10" ht="12.75">
      <c r="A60" s="116" t="s">
        <v>254</v>
      </c>
      <c r="B60" s="116">
        <v>17865.683</v>
      </c>
      <c r="C60" s="116">
        <v>2187.406</v>
      </c>
      <c r="D60" s="163">
        <f t="shared" si="7"/>
        <v>8167.52034144553</v>
      </c>
      <c r="E60" s="116">
        <v>17339.784</v>
      </c>
      <c r="F60" s="116">
        <v>1865.27</v>
      </c>
      <c r="G60" s="163">
        <f t="shared" si="8"/>
        <v>9296.125493896327</v>
      </c>
      <c r="H60" s="150">
        <f t="shared" si="9"/>
        <v>3.0329039854245083</v>
      </c>
      <c r="I60" s="150">
        <f t="shared" si="10"/>
        <v>17.27020753027712</v>
      </c>
      <c r="J60" s="150">
        <f t="shared" si="11"/>
        <v>-12.140597211083467</v>
      </c>
    </row>
    <row r="61" spans="1:10" ht="12.75">
      <c r="A61" s="116" t="s">
        <v>246</v>
      </c>
      <c r="B61" s="116">
        <v>13773.431</v>
      </c>
      <c r="C61" s="116">
        <v>1974.863</v>
      </c>
      <c r="D61" s="163">
        <f t="shared" si="7"/>
        <v>6974.372905867394</v>
      </c>
      <c r="E61" s="116">
        <v>16967.383</v>
      </c>
      <c r="F61" s="116">
        <v>1985.417</v>
      </c>
      <c r="G61" s="163">
        <f t="shared" si="8"/>
        <v>8546.004693220619</v>
      </c>
      <c r="H61" s="150">
        <f t="shared" si="9"/>
        <v>-18.82406968711675</v>
      </c>
      <c r="I61" s="150">
        <f t="shared" si="10"/>
        <v>-0.5315759863041296</v>
      </c>
      <c r="J61" s="150">
        <f t="shared" si="11"/>
        <v>-18.390251863540044</v>
      </c>
    </row>
    <row r="62" spans="1:10" s="175" customFormat="1" ht="12.75">
      <c r="A62" s="116" t="s">
        <v>264</v>
      </c>
      <c r="B62" s="116">
        <v>13256.842</v>
      </c>
      <c r="C62" s="116">
        <v>1639.019</v>
      </c>
      <c r="D62" s="163">
        <f t="shared" si="7"/>
        <v>8088.278415320384</v>
      </c>
      <c r="E62" s="116">
        <v>3107.598</v>
      </c>
      <c r="F62" s="116">
        <v>268.23</v>
      </c>
      <c r="G62" s="163">
        <f>(E62*1000)/F62</f>
        <v>11585.572083659545</v>
      </c>
      <c r="H62" s="150">
        <f aca="true" t="shared" si="12" ref="H62:J63">SUM(B62-E62)*100/E62</f>
        <v>326.59449516958114</v>
      </c>
      <c r="I62" s="150">
        <f t="shared" si="12"/>
        <v>511.049845282034</v>
      </c>
      <c r="J62" s="150">
        <f t="shared" si="12"/>
        <v>-30.1866290510746</v>
      </c>
    </row>
    <row r="63" spans="1:10" ht="12.75">
      <c r="A63" s="116" t="s">
        <v>257</v>
      </c>
      <c r="B63" s="116">
        <v>10957.134</v>
      </c>
      <c r="C63" s="116">
        <v>1296.863</v>
      </c>
      <c r="D63" s="163">
        <f t="shared" si="7"/>
        <v>8448.952587898644</v>
      </c>
      <c r="E63" s="116">
        <v>15586.663</v>
      </c>
      <c r="F63" s="116">
        <v>1951.37</v>
      </c>
      <c r="G63" s="163">
        <f>(E63*1000)/F63</f>
        <v>7987.548747802826</v>
      </c>
      <c r="H63" s="150">
        <f t="shared" si="12"/>
        <v>-29.70186113602379</v>
      </c>
      <c r="I63" s="150">
        <f t="shared" si="12"/>
        <v>-33.54089690832594</v>
      </c>
      <c r="J63" s="150">
        <f t="shared" si="12"/>
        <v>5.776538643632548</v>
      </c>
    </row>
    <row r="64" spans="1:10" ht="12.75">
      <c r="A64" s="116" t="s">
        <v>312</v>
      </c>
      <c r="B64" s="116">
        <v>10307.547</v>
      </c>
      <c r="C64" s="116">
        <v>1846.5</v>
      </c>
      <c r="D64" s="163">
        <f t="shared" si="7"/>
        <v>5582.2079610073115</v>
      </c>
      <c r="E64" s="116">
        <v>15874.108</v>
      </c>
      <c r="F64" s="116">
        <v>2329.87</v>
      </c>
      <c r="G64" s="163">
        <f t="shared" si="8"/>
        <v>6813.30202972698</v>
      </c>
      <c r="H64" s="150">
        <f t="shared" si="9"/>
        <v>-35.06692155552929</v>
      </c>
      <c r="I64" s="150">
        <f t="shared" si="10"/>
        <v>-20.746651100705183</v>
      </c>
      <c r="J64" s="150">
        <f t="shared" si="11"/>
        <v>-18.068978350707297</v>
      </c>
    </row>
    <row r="65" spans="1:10" s="175" customFormat="1" ht="12.75">
      <c r="A65" s="116" t="s">
        <v>261</v>
      </c>
      <c r="B65" s="116">
        <v>9863.497</v>
      </c>
      <c r="C65" s="116">
        <v>1602.725</v>
      </c>
      <c r="D65" s="163">
        <f t="shared" si="7"/>
        <v>6154.204245893713</v>
      </c>
      <c r="E65" s="116">
        <v>26788.159</v>
      </c>
      <c r="F65" s="116">
        <v>4278.625</v>
      </c>
      <c r="G65" s="163">
        <f t="shared" si="8"/>
        <v>6260.927050162143</v>
      </c>
      <c r="H65" s="150">
        <f t="shared" si="9"/>
        <v>-63.17963843651966</v>
      </c>
      <c r="I65" s="150">
        <f t="shared" si="10"/>
        <v>-62.54112010283678</v>
      </c>
      <c r="J65" s="150">
        <f t="shared" si="11"/>
        <v>-1.704584695099845</v>
      </c>
    </row>
    <row r="66" spans="1:10" ht="12.75">
      <c r="A66" s="116" t="s">
        <v>271</v>
      </c>
      <c r="B66" s="116">
        <v>8022.578</v>
      </c>
      <c r="C66" s="116">
        <v>1177.5</v>
      </c>
      <c r="D66" s="163">
        <f t="shared" si="7"/>
        <v>6813.229723991508</v>
      </c>
      <c r="E66" s="116">
        <v>7784.804</v>
      </c>
      <c r="F66" s="116">
        <v>1171.144</v>
      </c>
      <c r="G66" s="163">
        <f t="shared" si="8"/>
        <v>6647.17916840286</v>
      </c>
      <c r="H66" s="150">
        <f t="shared" si="9"/>
        <v>3.054335086663715</v>
      </c>
      <c r="I66" s="150">
        <f t="shared" si="10"/>
        <v>0.5427172064238039</v>
      </c>
      <c r="J66" s="150">
        <f t="shared" si="11"/>
        <v>2.4980604762086625</v>
      </c>
    </row>
    <row r="67" spans="1:10" ht="12.75">
      <c r="A67" s="116" t="s">
        <v>263</v>
      </c>
      <c r="B67" s="116">
        <v>7888.874</v>
      </c>
      <c r="C67" s="116">
        <v>1290.5</v>
      </c>
      <c r="D67" s="163">
        <f t="shared" si="7"/>
        <v>6113.036807438977</v>
      </c>
      <c r="E67" s="116">
        <v>8202.71</v>
      </c>
      <c r="F67" s="116">
        <v>1226.4</v>
      </c>
      <c r="G67" s="163">
        <f t="shared" si="8"/>
        <v>6688.445857795172</v>
      </c>
      <c r="H67" s="150">
        <f t="shared" si="9"/>
        <v>-3.826003845070707</v>
      </c>
      <c r="I67" s="150">
        <f t="shared" si="10"/>
        <v>5.226679712981075</v>
      </c>
      <c r="J67" s="150">
        <f t="shared" si="11"/>
        <v>-8.603030697864941</v>
      </c>
    </row>
    <row r="68" spans="1:10" ht="12.75">
      <c r="A68" s="116" t="s">
        <v>274</v>
      </c>
      <c r="B68" s="116">
        <v>7471.255</v>
      </c>
      <c r="C68" s="116">
        <v>1164.89</v>
      </c>
      <c r="D68" s="163">
        <f t="shared" si="7"/>
        <v>6413.7000060091505</v>
      </c>
      <c r="E68" s="116">
        <v>6159.375</v>
      </c>
      <c r="F68" s="116">
        <v>894.969</v>
      </c>
      <c r="G68" s="163">
        <f t="shared" si="8"/>
        <v>6882.221618849368</v>
      </c>
      <c r="H68" s="150">
        <f t="shared" si="9"/>
        <v>21.298914256722476</v>
      </c>
      <c r="I68" s="150">
        <f t="shared" si="10"/>
        <v>30.15981559137803</v>
      </c>
      <c r="J68" s="150">
        <f t="shared" si="11"/>
        <v>-6.807708888028352</v>
      </c>
    </row>
    <row r="69" spans="1:10" s="175" customFormat="1" ht="12.75">
      <c r="A69" s="116" t="s">
        <v>262</v>
      </c>
      <c r="B69" s="116">
        <v>7309.951</v>
      </c>
      <c r="C69" s="116">
        <v>789.751</v>
      </c>
      <c r="D69" s="163">
        <f t="shared" si="7"/>
        <v>9256.01993539736</v>
      </c>
      <c r="E69" s="116">
        <v>9609.794</v>
      </c>
      <c r="F69" s="116">
        <v>969.081</v>
      </c>
      <c r="G69" s="163">
        <f t="shared" si="8"/>
        <v>9916.399145169495</v>
      </c>
      <c r="H69" s="150">
        <f t="shared" si="9"/>
        <v>-23.932282003131387</v>
      </c>
      <c r="I69" s="150">
        <f t="shared" si="10"/>
        <v>-18.505161075286797</v>
      </c>
      <c r="J69" s="150">
        <f t="shared" si="11"/>
        <v>-6.659465801089906</v>
      </c>
    </row>
    <row r="70" spans="1:10" s="175" customFormat="1" ht="12.75">
      <c r="A70" s="116" t="s">
        <v>259</v>
      </c>
      <c r="B70" s="116">
        <v>5855.417</v>
      </c>
      <c r="C70" s="116">
        <v>746.289</v>
      </c>
      <c r="D70" s="163">
        <f t="shared" si="7"/>
        <v>7846.044896816113</v>
      </c>
      <c r="E70" s="116">
        <v>14940.72</v>
      </c>
      <c r="F70" s="116">
        <v>1119.732</v>
      </c>
      <c r="G70" s="163">
        <f t="shared" si="8"/>
        <v>13343.121389761121</v>
      </c>
      <c r="H70" s="150">
        <f t="shared" si="9"/>
        <v>-60.80900384988141</v>
      </c>
      <c r="I70" s="150">
        <f t="shared" si="10"/>
        <v>-33.351105443088166</v>
      </c>
      <c r="J70" s="150">
        <f t="shared" si="11"/>
        <v>-41.19783019558831</v>
      </c>
    </row>
    <row r="71" spans="1:10" ht="12.75">
      <c r="A71" s="176" t="s">
        <v>15</v>
      </c>
      <c r="B71" s="165">
        <f>SUM(B55:B70)</f>
        <v>268159.945</v>
      </c>
      <c r="C71" s="165">
        <f>SUM(C55:C70)</f>
        <v>37621.13599999999</v>
      </c>
      <c r="D71" s="166">
        <f t="shared" si="7"/>
        <v>7127.906637375332</v>
      </c>
      <c r="E71" s="165">
        <f>SUM(E55:E70)</f>
        <v>320713.022</v>
      </c>
      <c r="F71" s="165">
        <f>SUM(F55:F70)</f>
        <v>40076.83</v>
      </c>
      <c r="G71" s="166">
        <f t="shared" si="8"/>
        <v>8002.454834875912</v>
      </c>
      <c r="H71" s="167">
        <f t="shared" si="9"/>
        <v>-16.386324656315324</v>
      </c>
      <c r="I71" s="167">
        <f t="shared" si="10"/>
        <v>-6.127465670313771</v>
      </c>
      <c r="J71" s="167">
        <f t="shared" si="11"/>
        <v>-10.928499011192988</v>
      </c>
    </row>
    <row r="72" spans="1:10" ht="12.75">
      <c r="A72" s="168" t="s">
        <v>270</v>
      </c>
      <c r="B72" s="162">
        <f>B74-B71</f>
        <v>105248.055</v>
      </c>
      <c r="C72" s="162">
        <f>C74-C71</f>
        <v>12991.864000000009</v>
      </c>
      <c r="D72" s="163">
        <f t="shared" si="7"/>
        <v>8101.07425693495</v>
      </c>
      <c r="E72" s="162">
        <f>E74-E71</f>
        <v>108985.978</v>
      </c>
      <c r="F72" s="162">
        <f>F74-F71</f>
        <v>11883.169999999998</v>
      </c>
      <c r="G72" s="163">
        <f t="shared" si="8"/>
        <v>9171.456606275937</v>
      </c>
      <c r="H72" s="150">
        <f t="shared" si="9"/>
        <v>-3.429728363771723</v>
      </c>
      <c r="I72" s="150">
        <f t="shared" si="10"/>
        <v>9.329951519670345</v>
      </c>
      <c r="J72" s="150">
        <f t="shared" si="11"/>
        <v>-11.67079990989146</v>
      </c>
    </row>
    <row r="73" spans="1:10" ht="12.75">
      <c r="A73" s="168"/>
      <c r="B73" s="162"/>
      <c r="C73" s="169"/>
      <c r="D73" s="169"/>
      <c r="E73" s="169"/>
      <c r="F73" s="169"/>
      <c r="G73" s="169"/>
      <c r="H73" s="150"/>
      <c r="I73" s="150"/>
      <c r="J73" s="150"/>
    </row>
    <row r="74" spans="1:10" ht="12.75">
      <c r="A74" s="171" t="s">
        <v>69</v>
      </c>
      <c r="B74" s="172">
        <f>B7</f>
        <v>373408</v>
      </c>
      <c r="C74" s="173">
        <f>C7</f>
        <v>50613</v>
      </c>
      <c r="D74" s="174">
        <f>(B74*1000)/C74</f>
        <v>7377.709284176002</v>
      </c>
      <c r="E74" s="173">
        <f>E7</f>
        <v>429699</v>
      </c>
      <c r="F74" s="173">
        <f>F7</f>
        <v>51960</v>
      </c>
      <c r="G74" s="174">
        <f>(E74*1000)/F74</f>
        <v>8269.803695150116</v>
      </c>
      <c r="H74" s="154">
        <f>SUM(B74-E74)*100/E74</f>
        <v>-13.100100302770079</v>
      </c>
      <c r="I74" s="154">
        <f>SUM(C74-F74)*100/F74</f>
        <v>-2.592378752886836</v>
      </c>
      <c r="J74" s="154">
        <f>SUM(D74-G74)*100/G74</f>
        <v>-10.78737106537715</v>
      </c>
    </row>
    <row r="75" spans="1:10" ht="12.75">
      <c r="A75" s="4" t="s">
        <v>155</v>
      </c>
      <c r="B75"/>
      <c r="C75"/>
      <c r="D75"/>
      <c r="E75"/>
      <c r="F75"/>
      <c r="G75"/>
      <c r="H75"/>
      <c r="I75"/>
      <c r="J75"/>
    </row>
    <row r="76" spans="1:10" ht="12.75">
      <c r="A76" s="527" t="s">
        <v>243</v>
      </c>
      <c r="B76" s="527"/>
      <c r="C76" s="527"/>
      <c r="D76" s="527"/>
      <c r="E76" s="527"/>
      <c r="F76" s="527"/>
      <c r="G76" s="527"/>
      <c r="H76" s="527"/>
      <c r="I76" s="527"/>
      <c r="J76" s="527"/>
    </row>
    <row r="77" spans="1:10" ht="12.75">
      <c r="A77" s="527" t="s">
        <v>65</v>
      </c>
      <c r="B77" s="527"/>
      <c r="C77" s="527"/>
      <c r="D77" s="527"/>
      <c r="E77" s="527"/>
      <c r="F77" s="527"/>
      <c r="G77" s="527"/>
      <c r="H77" s="527"/>
      <c r="I77" s="527"/>
      <c r="J77" s="527"/>
    </row>
    <row r="78" spans="1:10" ht="12.75">
      <c r="A78" s="223"/>
      <c r="B78" s="223"/>
      <c r="C78" s="223"/>
      <c r="D78" s="223"/>
      <c r="E78" s="223"/>
      <c r="F78" s="223"/>
      <c r="G78" s="223"/>
      <c r="H78" s="223"/>
      <c r="I78" s="223"/>
      <c r="J78" s="223"/>
    </row>
    <row r="79" spans="1:10" ht="12.75">
      <c r="A79" s="528" t="s">
        <v>154</v>
      </c>
      <c r="B79" s="529"/>
      <c r="C79" s="529"/>
      <c r="D79" s="113"/>
      <c r="E79" s="113"/>
      <c r="F79" s="113"/>
      <c r="G79" s="113"/>
      <c r="H79" s="113"/>
      <c r="I79" s="113"/>
      <c r="J79" s="113"/>
    </row>
    <row r="80" spans="1:10" ht="12.75">
      <c r="A80" s="3"/>
      <c r="B80" s="3"/>
      <c r="C80" s="3"/>
      <c r="D80" s="3"/>
      <c r="E80" s="3"/>
      <c r="F80" s="3"/>
      <c r="G80" s="38"/>
      <c r="H80" s="3"/>
      <c r="I80" s="3"/>
      <c r="J80" s="3"/>
    </row>
    <row r="81" spans="1:10" ht="12.75">
      <c r="A81" s="518" t="s">
        <v>66</v>
      </c>
      <c r="B81" s="534" t="str">
        <f>B3</f>
        <v>Jan a Ago/14</v>
      </c>
      <c r="C81" s="535"/>
      <c r="D81" s="536"/>
      <c r="E81" s="534" t="str">
        <f>E3</f>
        <v>Jan a Ago/13</v>
      </c>
      <c r="F81" s="535"/>
      <c r="G81" s="536"/>
      <c r="H81" s="533" t="s">
        <v>58</v>
      </c>
      <c r="I81" s="533"/>
      <c r="J81" s="533"/>
    </row>
    <row r="82" spans="1:10" ht="12.75">
      <c r="A82" s="530"/>
      <c r="B82" s="155" t="s">
        <v>1</v>
      </c>
      <c r="C82" s="147" t="s">
        <v>67</v>
      </c>
      <c r="D82" s="148" t="s">
        <v>60</v>
      </c>
      <c r="E82" s="147" t="s">
        <v>1</v>
      </c>
      <c r="F82" s="147" t="s">
        <v>67</v>
      </c>
      <c r="G82" s="146" t="s">
        <v>60</v>
      </c>
      <c r="H82" s="533" t="str">
        <f>H4</f>
        <v>(14/13)</v>
      </c>
      <c r="I82" s="533"/>
      <c r="J82" s="533"/>
    </row>
    <row r="83" spans="1:10" ht="12.75">
      <c r="A83" s="156"/>
      <c r="B83" s="155" t="s">
        <v>68</v>
      </c>
      <c r="C83" s="147" t="s">
        <v>62</v>
      </c>
      <c r="D83" s="148" t="s">
        <v>63</v>
      </c>
      <c r="E83" s="147" t="s">
        <v>68</v>
      </c>
      <c r="F83" s="147" t="s">
        <v>62</v>
      </c>
      <c r="G83" s="146" t="s">
        <v>63</v>
      </c>
      <c r="H83" s="147" t="s">
        <v>1</v>
      </c>
      <c r="I83" s="147" t="s">
        <v>59</v>
      </c>
      <c r="J83" s="118" t="s">
        <v>60</v>
      </c>
    </row>
    <row r="84" spans="1:10" ht="12.75">
      <c r="A84" s="161"/>
      <c r="B84" s="162"/>
      <c r="C84" s="162"/>
      <c r="D84" s="163"/>
      <c r="E84" s="162"/>
      <c r="F84" s="162"/>
      <c r="G84" s="163"/>
      <c r="H84" s="150"/>
      <c r="I84" s="150"/>
      <c r="J84" s="150"/>
    </row>
    <row r="85" spans="1:10" ht="12.75">
      <c r="A85" s="116" t="s">
        <v>247</v>
      </c>
      <c r="B85" s="162">
        <v>3546.826</v>
      </c>
      <c r="C85" s="162">
        <v>389.059</v>
      </c>
      <c r="D85" s="163">
        <f aca="true" t="shared" si="13" ref="D85:D100">(B85*1000)/C85</f>
        <v>9116.421930863955</v>
      </c>
      <c r="E85" s="162">
        <v>5505.421</v>
      </c>
      <c r="F85" s="162">
        <v>505.052</v>
      </c>
      <c r="G85" s="163">
        <f aca="true" t="shared" si="14" ref="G85:G90">(E85*1000)/F85</f>
        <v>10900.70131392411</v>
      </c>
      <c r="H85" s="150">
        <f aca="true" t="shared" si="15" ref="H85:J90">SUM(B85-E85)*100/E85</f>
        <v>-35.57575342557818</v>
      </c>
      <c r="I85" s="150">
        <f t="shared" si="15"/>
        <v>-22.96654601902378</v>
      </c>
      <c r="J85" s="150">
        <f t="shared" si="15"/>
        <v>-16.368482464343735</v>
      </c>
    </row>
    <row r="86" spans="1:10" ht="12.75">
      <c r="A86" s="116" t="s">
        <v>261</v>
      </c>
      <c r="B86" s="162">
        <v>655.232</v>
      </c>
      <c r="C86" s="162">
        <v>102.388</v>
      </c>
      <c r="D86" s="163">
        <f t="shared" si="13"/>
        <v>6399.499941399383</v>
      </c>
      <c r="E86" s="162">
        <v>705.884</v>
      </c>
      <c r="F86" s="162">
        <v>104.486</v>
      </c>
      <c r="G86" s="163">
        <f t="shared" si="14"/>
        <v>6755.775893421128</v>
      </c>
      <c r="H86" s="150">
        <f t="shared" si="15"/>
        <v>-7.175683256739074</v>
      </c>
      <c r="I86" s="150">
        <f t="shared" si="15"/>
        <v>-2.0079245066324662</v>
      </c>
      <c r="J86" s="150">
        <f t="shared" si="15"/>
        <v>-5.273649653901215</v>
      </c>
    </row>
    <row r="87" spans="1:10" ht="12.75">
      <c r="A87" s="116" t="s">
        <v>248</v>
      </c>
      <c r="B87" s="162">
        <v>568.285</v>
      </c>
      <c r="C87" s="162">
        <v>91.601</v>
      </c>
      <c r="D87" s="163">
        <f t="shared" si="13"/>
        <v>6203.91698780581</v>
      </c>
      <c r="E87" s="162">
        <v>491.603</v>
      </c>
      <c r="F87" s="162">
        <v>80.156</v>
      </c>
      <c r="G87" s="163">
        <f t="shared" si="14"/>
        <v>6133.077997904086</v>
      </c>
      <c r="H87" s="150">
        <f t="shared" si="15"/>
        <v>15.598358838330922</v>
      </c>
      <c r="I87" s="150">
        <f t="shared" si="15"/>
        <v>14.278407106143012</v>
      </c>
      <c r="J87" s="150">
        <f t="shared" si="15"/>
        <v>1.1550316158694265</v>
      </c>
    </row>
    <row r="88" spans="1:10" ht="12.75">
      <c r="A88" s="116" t="s">
        <v>252</v>
      </c>
      <c r="B88" s="162">
        <v>499.216</v>
      </c>
      <c r="C88" s="162">
        <v>38.761</v>
      </c>
      <c r="D88" s="163">
        <f t="shared" si="13"/>
        <v>12879.337478393229</v>
      </c>
      <c r="E88" s="162">
        <v>98.041</v>
      </c>
      <c r="F88" s="162">
        <v>9.132</v>
      </c>
      <c r="G88" s="163">
        <f>(E88*1000)/F88</f>
        <v>10735.98335523434</v>
      </c>
      <c r="H88" s="150">
        <f>SUM(B88-E88)*100/E88</f>
        <v>409.1910527228405</v>
      </c>
      <c r="I88" s="150">
        <f>SUM(C88-F88)*100/F88</f>
        <v>324.4524748138415</v>
      </c>
      <c r="J88" s="150">
        <f>SUM(D88-G88)*100/G88</f>
        <v>19.964208701142343</v>
      </c>
    </row>
    <row r="89" spans="1:10" ht="12.75">
      <c r="A89" s="116" t="s">
        <v>249</v>
      </c>
      <c r="B89" s="162">
        <v>398.315</v>
      </c>
      <c r="C89" s="162">
        <v>89.22</v>
      </c>
      <c r="D89" s="163">
        <f t="shared" si="13"/>
        <v>4464.413808563102</v>
      </c>
      <c r="E89" s="162">
        <v>139.98</v>
      </c>
      <c r="F89" s="162">
        <v>42.196</v>
      </c>
      <c r="G89" s="163">
        <f t="shared" si="14"/>
        <v>3317.3760546023323</v>
      </c>
      <c r="H89" s="150">
        <f t="shared" si="15"/>
        <v>184.55136448064013</v>
      </c>
      <c r="I89" s="150">
        <f t="shared" si="15"/>
        <v>111.44184282870414</v>
      </c>
      <c r="J89" s="150">
        <f t="shared" si="15"/>
        <v>34.57665742686715</v>
      </c>
    </row>
    <row r="90" spans="1:10" ht="12.75">
      <c r="A90" s="116" t="s">
        <v>266</v>
      </c>
      <c r="B90" s="162">
        <v>336.024</v>
      </c>
      <c r="C90" s="162">
        <v>49.05</v>
      </c>
      <c r="D90" s="163">
        <f t="shared" si="13"/>
        <v>6850.642201834863</v>
      </c>
      <c r="E90" s="162">
        <v>316.421</v>
      </c>
      <c r="F90" s="162">
        <v>47.407</v>
      </c>
      <c r="G90" s="163">
        <f t="shared" si="14"/>
        <v>6674.562828274306</v>
      </c>
      <c r="H90" s="150">
        <f t="shared" si="15"/>
        <v>6.195227244715113</v>
      </c>
      <c r="I90" s="150">
        <f t="shared" si="15"/>
        <v>3.4657329086421855</v>
      </c>
      <c r="J90" s="150">
        <f t="shared" si="15"/>
        <v>2.6380660140715397</v>
      </c>
    </row>
    <row r="91" spans="1:10" ht="12.75">
      <c r="A91" s="116" t="s">
        <v>265</v>
      </c>
      <c r="B91" s="162">
        <v>288.129</v>
      </c>
      <c r="C91" s="162">
        <v>52.195</v>
      </c>
      <c r="D91" s="163">
        <f t="shared" si="13"/>
        <v>5520.241402433183</v>
      </c>
      <c r="E91" s="162">
        <v>313.934</v>
      </c>
      <c r="F91" s="162">
        <v>55.993</v>
      </c>
      <c r="G91" s="163">
        <f aca="true" t="shared" si="16" ref="G91:G96">(E91*1000)/F91</f>
        <v>5606.665118854142</v>
      </c>
      <c r="H91" s="150">
        <f aca="true" t="shared" si="17" ref="H91:J92">SUM(B91-E91)*100/E91</f>
        <v>-8.219880611848353</v>
      </c>
      <c r="I91" s="150">
        <f t="shared" si="17"/>
        <v>-6.782990730984233</v>
      </c>
      <c r="J91" s="150">
        <f t="shared" si="17"/>
        <v>-1.5414460216347243</v>
      </c>
    </row>
    <row r="92" spans="1:10" ht="12.75">
      <c r="A92" s="116" t="s">
        <v>264</v>
      </c>
      <c r="B92" s="162">
        <v>263.963</v>
      </c>
      <c r="C92" s="162">
        <v>38.869</v>
      </c>
      <c r="D92" s="163">
        <f t="shared" si="13"/>
        <v>6791.093159072783</v>
      </c>
      <c r="E92" s="162">
        <v>297.948</v>
      </c>
      <c r="F92" s="162">
        <v>41.039</v>
      </c>
      <c r="G92" s="163">
        <f t="shared" si="16"/>
        <v>7260.118423938205</v>
      </c>
      <c r="H92" s="150">
        <f t="shared" si="17"/>
        <v>-11.406352786392242</v>
      </c>
      <c r="I92" s="150">
        <f t="shared" si="17"/>
        <v>-5.287653207924174</v>
      </c>
      <c r="J92" s="150">
        <f t="shared" si="17"/>
        <v>-6.460297717995096</v>
      </c>
    </row>
    <row r="93" spans="1:10" ht="12.75">
      <c r="A93" s="116" t="s">
        <v>246</v>
      </c>
      <c r="B93" s="162">
        <v>210.862</v>
      </c>
      <c r="C93" s="162">
        <v>25.665</v>
      </c>
      <c r="D93" s="163">
        <f t="shared" si="13"/>
        <v>8215.936099746737</v>
      </c>
      <c r="E93" s="162">
        <v>404.159</v>
      </c>
      <c r="F93" s="162">
        <v>79.399</v>
      </c>
      <c r="G93" s="163">
        <f t="shared" si="16"/>
        <v>5090.227836622627</v>
      </c>
      <c r="H93" s="150">
        <f aca="true" t="shared" si="18" ref="H93:J96">SUM(B93-E93)*100/E93</f>
        <v>-47.82696908889818</v>
      </c>
      <c r="I93" s="150">
        <f t="shared" si="18"/>
        <v>-67.67591531379489</v>
      </c>
      <c r="J93" s="150">
        <f t="shared" si="18"/>
        <v>61.40605810678253</v>
      </c>
    </row>
    <row r="94" spans="1:10" ht="12.75">
      <c r="A94" s="116" t="s">
        <v>267</v>
      </c>
      <c r="B94" s="162">
        <v>152.101</v>
      </c>
      <c r="C94" s="162">
        <v>34.334</v>
      </c>
      <c r="D94" s="163">
        <f t="shared" si="13"/>
        <v>4430.040193394303</v>
      </c>
      <c r="E94" s="162">
        <v>153.45</v>
      </c>
      <c r="F94" s="162">
        <v>30.889</v>
      </c>
      <c r="G94" s="163">
        <f t="shared" si="16"/>
        <v>4967.787885655088</v>
      </c>
      <c r="H94" s="150">
        <f t="shared" si="18"/>
        <v>-0.8791137178233885</v>
      </c>
      <c r="I94" s="150">
        <f t="shared" si="18"/>
        <v>11.15283757972095</v>
      </c>
      <c r="J94" s="150">
        <f t="shared" si="18"/>
        <v>-10.824691082595882</v>
      </c>
    </row>
    <row r="95" spans="1:10" ht="12.75">
      <c r="A95" s="116" t="s">
        <v>340</v>
      </c>
      <c r="B95" s="162">
        <v>148.165</v>
      </c>
      <c r="C95" s="162">
        <v>20.574</v>
      </c>
      <c r="D95" s="163">
        <f t="shared" si="13"/>
        <v>7201.56508214251</v>
      </c>
      <c r="E95" s="162">
        <v>106.771</v>
      </c>
      <c r="F95" s="162">
        <v>11.154</v>
      </c>
      <c r="G95" s="163">
        <f t="shared" si="16"/>
        <v>9572.440380132688</v>
      </c>
      <c r="H95" s="150">
        <f t="shared" si="18"/>
        <v>38.768954116754536</v>
      </c>
      <c r="I95" s="150">
        <f t="shared" si="18"/>
        <v>84.45400753093062</v>
      </c>
      <c r="J95" s="150">
        <f t="shared" si="18"/>
        <v>-24.767720704856607</v>
      </c>
    </row>
    <row r="96" spans="1:10" ht="12.75">
      <c r="A96" s="116" t="s">
        <v>313</v>
      </c>
      <c r="B96" s="162">
        <v>120.528</v>
      </c>
      <c r="C96" s="162">
        <v>20.77</v>
      </c>
      <c r="D96" s="163">
        <f t="shared" si="13"/>
        <v>5802.985074626866</v>
      </c>
      <c r="E96" s="162">
        <v>62.59</v>
      </c>
      <c r="F96" s="162">
        <v>11.5</v>
      </c>
      <c r="G96" s="163">
        <f t="shared" si="16"/>
        <v>5442.608695652174</v>
      </c>
      <c r="H96" s="150">
        <f t="shared" si="18"/>
        <v>92.5675027959738</v>
      </c>
      <c r="I96" s="150">
        <f t="shared" si="18"/>
        <v>80.6086956521739</v>
      </c>
      <c r="J96" s="150">
        <f t="shared" si="18"/>
        <v>6.621390570712502</v>
      </c>
    </row>
    <row r="97" spans="1:10" ht="12.75">
      <c r="A97" s="116" t="s">
        <v>258</v>
      </c>
      <c r="B97" s="162">
        <v>70.21</v>
      </c>
      <c r="C97" s="162">
        <v>4.98</v>
      </c>
      <c r="D97" s="163">
        <f t="shared" si="13"/>
        <v>14098.393574297188</v>
      </c>
      <c r="E97" s="162">
        <v>138.189</v>
      </c>
      <c r="F97" s="162">
        <v>20.144</v>
      </c>
      <c r="G97" s="163">
        <f>(E97*1000)/F97</f>
        <v>6860.057585385227</v>
      </c>
      <c r="H97" s="150">
        <f aca="true" t="shared" si="19" ref="H97:J98">SUM(B97-E97)*100/E97</f>
        <v>-49.19277221775973</v>
      </c>
      <c r="I97" s="150">
        <f t="shared" si="19"/>
        <v>-75.27799841143765</v>
      </c>
      <c r="J97" s="150">
        <f t="shared" si="19"/>
        <v>105.51421615370437</v>
      </c>
    </row>
    <row r="98" spans="1:10" ht="12.75">
      <c r="A98" s="116" t="s">
        <v>257</v>
      </c>
      <c r="B98" s="162">
        <v>48.25</v>
      </c>
      <c r="C98" s="162">
        <v>6.251</v>
      </c>
      <c r="D98" s="163">
        <f t="shared" si="13"/>
        <v>7718.764997600383</v>
      </c>
      <c r="E98" s="162">
        <v>34.484</v>
      </c>
      <c r="F98" s="162">
        <v>4.758</v>
      </c>
      <c r="G98" s="163">
        <f>(E98*1000)/F98</f>
        <v>7247.583018074822</v>
      </c>
      <c r="H98" s="150">
        <f t="shared" si="19"/>
        <v>39.91996288133627</v>
      </c>
      <c r="I98" s="150">
        <f t="shared" si="19"/>
        <v>31.378730559058436</v>
      </c>
      <c r="J98" s="150">
        <f t="shared" si="19"/>
        <v>6.501229145640359</v>
      </c>
    </row>
    <row r="99" spans="1:10" ht="12.75">
      <c r="A99" s="116" t="s">
        <v>250</v>
      </c>
      <c r="B99" s="162">
        <v>45.986</v>
      </c>
      <c r="C99" s="162">
        <v>3.569</v>
      </c>
      <c r="D99" s="163">
        <f t="shared" si="13"/>
        <v>12884.8416923508</v>
      </c>
      <c r="E99" s="162">
        <v>0</v>
      </c>
      <c r="F99" s="162">
        <v>0</v>
      </c>
      <c r="G99" s="162">
        <v>0</v>
      </c>
      <c r="H99" s="162">
        <v>0</v>
      </c>
      <c r="I99" s="162">
        <v>0</v>
      </c>
      <c r="J99" s="162">
        <v>0</v>
      </c>
    </row>
    <row r="100" spans="1:10" ht="12.75">
      <c r="A100" s="165" t="s">
        <v>15</v>
      </c>
      <c r="B100" s="165">
        <f>SUM(B84:B99)</f>
        <v>7352.092</v>
      </c>
      <c r="C100" s="165">
        <f>SUM(C84:C99)</f>
        <v>967.286</v>
      </c>
      <c r="D100" s="166">
        <f t="shared" si="13"/>
        <v>7600.74269657578</v>
      </c>
      <c r="E100" s="165">
        <f>SUM(E84:E99)</f>
        <v>8768.875000000004</v>
      </c>
      <c r="F100" s="165">
        <f>SUM(F84:F99)</f>
        <v>1043.305</v>
      </c>
      <c r="G100" s="166">
        <f>(E100*1000)/F100</f>
        <v>8404.900772065697</v>
      </c>
      <c r="H100" s="167">
        <f aca="true" t="shared" si="20" ref="H100:J101">SUM(B100-E100)*100/E100</f>
        <v>-16.156952858833126</v>
      </c>
      <c r="I100" s="167">
        <f t="shared" si="20"/>
        <v>-7.286364006690289</v>
      </c>
      <c r="J100" s="167">
        <f t="shared" si="20"/>
        <v>-9.56772836822292</v>
      </c>
    </row>
    <row r="101" spans="1:10" ht="12.75">
      <c r="A101" s="168" t="s">
        <v>270</v>
      </c>
      <c r="B101" s="162">
        <f>B103-B100</f>
        <v>278.90800000000036</v>
      </c>
      <c r="C101" s="162">
        <f>C103-C100</f>
        <v>37.714000000000055</v>
      </c>
      <c r="D101" s="163">
        <f>(B101*1000)/C101</f>
        <v>7395.343904120484</v>
      </c>
      <c r="E101" s="162">
        <f>E103-E100</f>
        <v>759.2669999999962</v>
      </c>
      <c r="F101" s="162">
        <f>F103-F100</f>
        <v>169.69499999999994</v>
      </c>
      <c r="G101" s="163">
        <f>(E101*1000)/F101</f>
        <v>4474.303898170226</v>
      </c>
      <c r="H101" s="150">
        <f t="shared" si="20"/>
        <v>-63.26615011583518</v>
      </c>
      <c r="I101" s="150">
        <f t="shared" si="20"/>
        <v>-77.77542060756058</v>
      </c>
      <c r="J101" s="150">
        <f t="shared" si="20"/>
        <v>65.28479228120429</v>
      </c>
    </row>
    <row r="102" spans="1:10" ht="12.75">
      <c r="A102" s="168"/>
      <c r="B102" s="162"/>
      <c r="C102" s="169"/>
      <c r="D102" s="169"/>
      <c r="E102" s="169"/>
      <c r="F102" s="169"/>
      <c r="G102" s="169"/>
      <c r="H102" s="150"/>
      <c r="I102" s="150"/>
      <c r="J102" s="150"/>
    </row>
    <row r="103" spans="1:10" ht="12.75">
      <c r="A103" s="171" t="s">
        <v>69</v>
      </c>
      <c r="B103" s="172">
        <f>B8</f>
        <v>7631</v>
      </c>
      <c r="C103" s="173">
        <f>C8</f>
        <v>1005</v>
      </c>
      <c r="D103" s="174">
        <f>(B103*1000)/C103</f>
        <v>7593.034825870647</v>
      </c>
      <c r="E103" s="173">
        <f>E8</f>
        <v>9528.142</v>
      </c>
      <c r="F103" s="173">
        <f>F8</f>
        <v>1213</v>
      </c>
      <c r="G103" s="174">
        <f>(E103*1000)/F103</f>
        <v>7855.022258862325</v>
      </c>
      <c r="H103" s="154">
        <f>SUM(B103-E103)*100/E103</f>
        <v>-19.910933317324613</v>
      </c>
      <c r="I103" s="154">
        <f>SUM(C103-F103)*100/F103</f>
        <v>-17.147568013190437</v>
      </c>
      <c r="J103" s="154">
        <f>SUM(D103-G103)*100/G103</f>
        <v>-3.3352856854873147</v>
      </c>
    </row>
    <row r="104" spans="1:10" ht="12.75">
      <c r="A104" s="4" t="s">
        <v>155</v>
      </c>
      <c r="B104" s="3"/>
      <c r="C104" s="3"/>
      <c r="D104" s="3"/>
      <c r="E104" s="3"/>
      <c r="F104" s="3"/>
      <c r="G104" s="38"/>
      <c r="H104" s="3"/>
      <c r="I104" s="3"/>
      <c r="J104" s="3"/>
    </row>
    <row r="106" spans="1:10" ht="12.75">
      <c r="A106" s="527" t="s">
        <v>210</v>
      </c>
      <c r="B106" s="527"/>
      <c r="C106" s="527"/>
      <c r="D106" s="527"/>
      <c r="E106" s="527"/>
      <c r="F106" s="527"/>
      <c r="G106" s="527"/>
      <c r="H106" s="527"/>
      <c r="I106" s="527"/>
      <c r="J106" s="527"/>
    </row>
    <row r="107" spans="1:10" ht="12.75">
      <c r="A107" s="527" t="s">
        <v>65</v>
      </c>
      <c r="B107" s="527"/>
      <c r="C107" s="527"/>
      <c r="D107" s="527"/>
      <c r="E107" s="527"/>
      <c r="F107" s="527"/>
      <c r="G107" s="527"/>
      <c r="H107" s="527"/>
      <c r="I107" s="527"/>
      <c r="J107" s="527"/>
    </row>
    <row r="108" spans="1:10" ht="12.75">
      <c r="A108" s="223"/>
      <c r="B108" s="223"/>
      <c r="C108" s="223"/>
      <c r="D108" s="223"/>
      <c r="E108" s="223"/>
      <c r="F108" s="223"/>
      <c r="G108" s="223"/>
      <c r="H108" s="223"/>
      <c r="I108" s="223"/>
      <c r="J108" s="223"/>
    </row>
    <row r="109" spans="1:10" ht="12.75">
      <c r="A109" s="528" t="s">
        <v>208</v>
      </c>
      <c r="B109" s="529"/>
      <c r="C109" s="529"/>
      <c r="D109" s="113"/>
      <c r="E109" s="113"/>
      <c r="F109" s="113"/>
      <c r="G109" s="113"/>
      <c r="H109" s="113"/>
      <c r="I109" s="113"/>
      <c r="J109" s="113"/>
    </row>
    <row r="110" spans="1:10" ht="12.75">
      <c r="A110" s="3"/>
      <c r="B110" s="3"/>
      <c r="C110" s="3"/>
      <c r="D110" s="3"/>
      <c r="E110" s="3"/>
      <c r="F110" s="3"/>
      <c r="G110" s="38"/>
      <c r="H110" s="3"/>
      <c r="I110" s="3"/>
      <c r="J110" s="3"/>
    </row>
    <row r="111" spans="1:10" ht="12.75">
      <c r="A111" s="518" t="s">
        <v>66</v>
      </c>
      <c r="B111" s="531" t="str">
        <f>B3</f>
        <v>Jan a Ago/14</v>
      </c>
      <c r="C111" s="532"/>
      <c r="D111" s="532"/>
      <c r="E111" s="531" t="str">
        <f>E3</f>
        <v>Jan a Ago/13</v>
      </c>
      <c r="F111" s="532"/>
      <c r="G111" s="532"/>
      <c r="H111" s="533" t="s">
        <v>58</v>
      </c>
      <c r="I111" s="533"/>
      <c r="J111" s="533"/>
    </row>
    <row r="112" spans="1:10" ht="12.75">
      <c r="A112" s="530"/>
      <c r="B112" s="155" t="s">
        <v>1</v>
      </c>
      <c r="C112" s="147" t="s">
        <v>67</v>
      </c>
      <c r="D112" s="148" t="s">
        <v>60</v>
      </c>
      <c r="E112" s="147" t="s">
        <v>1</v>
      </c>
      <c r="F112" s="147" t="s">
        <v>67</v>
      </c>
      <c r="G112" s="146" t="s">
        <v>60</v>
      </c>
      <c r="H112" s="533" t="str">
        <f>H4</f>
        <v>(14/13)</v>
      </c>
      <c r="I112" s="533"/>
      <c r="J112" s="533"/>
    </row>
    <row r="113" spans="1:10" ht="12.75">
      <c r="A113" s="156"/>
      <c r="B113" s="155" t="s">
        <v>68</v>
      </c>
      <c r="C113" s="147" t="s">
        <v>62</v>
      </c>
      <c r="D113" s="148" t="s">
        <v>63</v>
      </c>
      <c r="E113" s="147" t="s">
        <v>68</v>
      </c>
      <c r="F113" s="147" t="s">
        <v>62</v>
      </c>
      <c r="G113" s="146" t="s">
        <v>63</v>
      </c>
      <c r="H113" s="147" t="s">
        <v>1</v>
      </c>
      <c r="I113" s="147" t="s">
        <v>59</v>
      </c>
      <c r="J113" s="118" t="s">
        <v>60</v>
      </c>
    </row>
    <row r="114" spans="1:10" ht="12.75">
      <c r="A114" s="161"/>
      <c r="B114" s="162"/>
      <c r="C114" s="162"/>
      <c r="D114" s="163"/>
      <c r="E114" s="162"/>
      <c r="F114" s="162"/>
      <c r="G114" s="164"/>
      <c r="H114" s="162"/>
      <c r="I114" s="162"/>
      <c r="J114" s="163"/>
    </row>
    <row r="115" spans="1:10" ht="12.75">
      <c r="A115" s="116" t="s">
        <v>248</v>
      </c>
      <c r="B115" s="116">
        <v>15684.181</v>
      </c>
      <c r="C115" s="116">
        <v>2887.332</v>
      </c>
      <c r="D115" s="163">
        <f aca="true" t="shared" si="21" ref="D115:D131">(B115*1000)/C115</f>
        <v>5432.067043208055</v>
      </c>
      <c r="E115" s="116">
        <v>14930.332</v>
      </c>
      <c r="F115" s="116">
        <v>2422.724</v>
      </c>
      <c r="G115" s="163">
        <f>(E115*1000)/F115</f>
        <v>6162.62190823222</v>
      </c>
      <c r="H115" s="150">
        <f>SUM(B115-E115)*100/E115</f>
        <v>5.049110763243578</v>
      </c>
      <c r="I115" s="150">
        <f>SUM(C115-F115)*100/F115</f>
        <v>19.177091571305674</v>
      </c>
      <c r="J115" s="150">
        <f>SUM(D115-G115)*100/G115</f>
        <v>-11.854611168799234</v>
      </c>
    </row>
    <row r="116" spans="1:10" ht="12.75">
      <c r="A116" s="116" t="s">
        <v>261</v>
      </c>
      <c r="B116" s="116">
        <v>12802.321</v>
      </c>
      <c r="C116" s="116">
        <v>2299.48</v>
      </c>
      <c r="D116" s="163">
        <f t="shared" si="21"/>
        <v>5567.485257536487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</row>
    <row r="117" spans="1:10" ht="12.75">
      <c r="A117" s="116" t="s">
        <v>259</v>
      </c>
      <c r="B117" s="116">
        <v>2878.91</v>
      </c>
      <c r="C117" s="116">
        <v>517.564</v>
      </c>
      <c r="D117" s="163">
        <f t="shared" si="21"/>
        <v>5562.423197904028</v>
      </c>
      <c r="E117" s="116">
        <v>1537.279</v>
      </c>
      <c r="F117" s="116">
        <v>309.927</v>
      </c>
      <c r="G117" s="163">
        <f aca="true" t="shared" si="22" ref="G117:G125">(E117*1000)/F117</f>
        <v>4960.132547341793</v>
      </c>
      <c r="H117" s="150">
        <f aca="true" t="shared" si="23" ref="H117:H125">SUM(B117-E117)*100/E117</f>
        <v>87.2730974663675</v>
      </c>
      <c r="I117" s="150">
        <f aca="true" t="shared" si="24" ref="I117:I125">SUM(C117-F117)*100/F117</f>
        <v>66.99545376814538</v>
      </c>
      <c r="J117" s="150">
        <f aca="true" t="shared" si="25" ref="J117:J125">SUM(D117-G117)*100/G117</f>
        <v>12.142632173912595</v>
      </c>
    </row>
    <row r="118" spans="1:10" ht="12.75">
      <c r="A118" s="116" t="s">
        <v>247</v>
      </c>
      <c r="B118" s="116">
        <v>417.935</v>
      </c>
      <c r="C118" s="116">
        <v>64.144</v>
      </c>
      <c r="D118" s="163">
        <f t="shared" si="21"/>
        <v>6515.574332751309</v>
      </c>
      <c r="E118" s="116">
        <v>439.779</v>
      </c>
      <c r="F118" s="116">
        <v>69.523</v>
      </c>
      <c r="G118" s="163">
        <f t="shared" si="22"/>
        <v>6325.662011133007</v>
      </c>
      <c r="H118" s="150">
        <f t="shared" si="23"/>
        <v>-4.9670402634050275</v>
      </c>
      <c r="I118" s="150">
        <f t="shared" si="24"/>
        <v>-7.737007896667277</v>
      </c>
      <c r="J118" s="150">
        <f t="shared" si="25"/>
        <v>3.0022521166015754</v>
      </c>
    </row>
    <row r="119" spans="1:10" ht="12.75">
      <c r="A119" s="116" t="s">
        <v>264</v>
      </c>
      <c r="B119" s="116">
        <v>387.746</v>
      </c>
      <c r="C119" s="116">
        <v>42.636</v>
      </c>
      <c r="D119" s="163">
        <f t="shared" si="21"/>
        <v>9094.333427150765</v>
      </c>
      <c r="E119" s="116">
        <v>305.182</v>
      </c>
      <c r="F119" s="116">
        <v>37.01</v>
      </c>
      <c r="G119" s="163">
        <f t="shared" si="22"/>
        <v>8245.93353147798</v>
      </c>
      <c r="H119" s="150">
        <f t="shared" si="23"/>
        <v>27.05402022399747</v>
      </c>
      <c r="I119" s="150">
        <f t="shared" si="24"/>
        <v>15.201296946771157</v>
      </c>
      <c r="J119" s="150">
        <f t="shared" si="25"/>
        <v>10.288706456753594</v>
      </c>
    </row>
    <row r="120" spans="1:10" ht="12.75">
      <c r="A120" s="116" t="s">
        <v>272</v>
      </c>
      <c r="B120" s="116">
        <v>281.848</v>
      </c>
      <c r="C120" s="116">
        <v>56.8</v>
      </c>
      <c r="D120" s="163">
        <f t="shared" si="21"/>
        <v>4962.112676056338</v>
      </c>
      <c r="E120" s="116">
        <v>238.956</v>
      </c>
      <c r="F120" s="116">
        <v>42.6</v>
      </c>
      <c r="G120" s="163">
        <f t="shared" si="22"/>
        <v>5609.295774647887</v>
      </c>
      <c r="H120" s="150">
        <f t="shared" si="23"/>
        <v>17.949748070774547</v>
      </c>
      <c r="I120" s="150">
        <f t="shared" si="24"/>
        <v>33.33333333333332</v>
      </c>
      <c r="J120" s="150">
        <f t="shared" si="25"/>
        <v>-11.537688946919085</v>
      </c>
    </row>
    <row r="121" spans="1:10" ht="12.75">
      <c r="A121" s="116" t="s">
        <v>265</v>
      </c>
      <c r="B121" s="116">
        <v>267.45</v>
      </c>
      <c r="C121" s="116">
        <v>26.545</v>
      </c>
      <c r="D121" s="163">
        <f t="shared" si="21"/>
        <v>10075.34375588623</v>
      </c>
      <c r="E121" s="116">
        <v>539.82</v>
      </c>
      <c r="F121" s="116">
        <v>46.544</v>
      </c>
      <c r="G121" s="163">
        <f t="shared" si="22"/>
        <v>11598.057751804745</v>
      </c>
      <c r="H121" s="150">
        <f t="shared" si="23"/>
        <v>-50.45570745804158</v>
      </c>
      <c r="I121" s="150">
        <f t="shared" si="24"/>
        <v>-42.967944310759705</v>
      </c>
      <c r="J121" s="150">
        <f t="shared" si="25"/>
        <v>-13.12904305620973</v>
      </c>
    </row>
    <row r="122" spans="1:10" ht="12.75">
      <c r="A122" s="116" t="s">
        <v>246</v>
      </c>
      <c r="B122" s="116">
        <v>239.289</v>
      </c>
      <c r="C122" s="116">
        <v>24.04</v>
      </c>
      <c r="D122" s="163">
        <f t="shared" si="21"/>
        <v>9953.785357737104</v>
      </c>
      <c r="E122" s="116">
        <v>627.221</v>
      </c>
      <c r="F122" s="116">
        <v>28.696</v>
      </c>
      <c r="G122" s="163">
        <f t="shared" si="22"/>
        <v>21857.436576526343</v>
      </c>
      <c r="H122" s="150">
        <f t="shared" si="23"/>
        <v>-61.84933221304772</v>
      </c>
      <c r="I122" s="150">
        <f t="shared" si="24"/>
        <v>-16.22525787566212</v>
      </c>
      <c r="J122" s="150">
        <f t="shared" si="25"/>
        <v>-54.46041752020038</v>
      </c>
    </row>
    <row r="123" spans="1:10" ht="12.75">
      <c r="A123" s="116" t="s">
        <v>266</v>
      </c>
      <c r="B123" s="116">
        <v>128.193</v>
      </c>
      <c r="C123" s="116">
        <v>19.485</v>
      </c>
      <c r="D123" s="163">
        <f t="shared" si="21"/>
        <v>6579.060816012318</v>
      </c>
      <c r="E123" s="116">
        <v>89.19</v>
      </c>
      <c r="F123" s="116">
        <v>9.588</v>
      </c>
      <c r="G123" s="163">
        <f t="shared" si="22"/>
        <v>9302.252816020025</v>
      </c>
      <c r="H123" s="150">
        <f t="shared" si="23"/>
        <v>43.73023881601078</v>
      </c>
      <c r="I123" s="150">
        <f t="shared" si="24"/>
        <v>103.22277847309138</v>
      </c>
      <c r="J123" s="150">
        <f t="shared" si="25"/>
        <v>-29.274542993692</v>
      </c>
    </row>
    <row r="124" spans="1:10" ht="12.75">
      <c r="A124" s="116" t="s">
        <v>252</v>
      </c>
      <c r="B124" s="116">
        <v>120</v>
      </c>
      <c r="C124" s="116">
        <v>1</v>
      </c>
      <c r="D124" s="163">
        <f t="shared" si="21"/>
        <v>120000</v>
      </c>
      <c r="E124" s="116">
        <v>132</v>
      </c>
      <c r="F124" s="116">
        <v>1</v>
      </c>
      <c r="G124" s="163">
        <f t="shared" si="22"/>
        <v>132000</v>
      </c>
      <c r="H124" s="150">
        <f t="shared" si="23"/>
        <v>-9.090909090909092</v>
      </c>
      <c r="I124" s="150">
        <f t="shared" si="24"/>
        <v>0</v>
      </c>
      <c r="J124" s="150">
        <f t="shared" si="25"/>
        <v>-9.090909090909092</v>
      </c>
    </row>
    <row r="125" spans="1:10" ht="12.75">
      <c r="A125" s="116" t="s">
        <v>257</v>
      </c>
      <c r="B125" s="116">
        <v>118.789</v>
      </c>
      <c r="C125" s="116">
        <v>0.84</v>
      </c>
      <c r="D125" s="163">
        <f t="shared" si="21"/>
        <v>141415.47619047618</v>
      </c>
      <c r="E125" s="116">
        <v>328.449</v>
      </c>
      <c r="F125" s="116">
        <v>2.19</v>
      </c>
      <c r="G125" s="163">
        <f t="shared" si="22"/>
        <v>149976.7123287671</v>
      </c>
      <c r="H125" s="150">
        <f t="shared" si="23"/>
        <v>-63.83335007870325</v>
      </c>
      <c r="I125" s="150">
        <f t="shared" si="24"/>
        <v>-61.64383561643836</v>
      </c>
      <c r="J125" s="150">
        <f t="shared" si="25"/>
        <v>-5.70837699090487</v>
      </c>
    </row>
    <row r="126" spans="1:10" ht="12.75">
      <c r="A126" s="116" t="s">
        <v>310</v>
      </c>
      <c r="B126" s="116">
        <v>106.454</v>
      </c>
      <c r="C126" s="116">
        <v>19.32</v>
      </c>
      <c r="D126" s="163">
        <f t="shared" si="21"/>
        <v>5510.041407867495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</row>
    <row r="127" spans="1:10" ht="12.75">
      <c r="A127" s="116" t="s">
        <v>268</v>
      </c>
      <c r="B127" s="116">
        <v>80.473</v>
      </c>
      <c r="C127" s="116">
        <v>3.885</v>
      </c>
      <c r="D127" s="163">
        <f t="shared" si="21"/>
        <v>20713.770913770913</v>
      </c>
      <c r="E127" s="116">
        <v>71.721</v>
      </c>
      <c r="F127" s="116">
        <v>3.195</v>
      </c>
      <c r="G127" s="163">
        <f>(E127*1000)/F127</f>
        <v>22447.88732394366</v>
      </c>
      <c r="H127" s="150">
        <f aca="true" t="shared" si="26" ref="H127:J129">SUM(B127-E127)*100/E127</f>
        <v>12.202841566626226</v>
      </c>
      <c r="I127" s="150">
        <f t="shared" si="26"/>
        <v>21.5962441314554</v>
      </c>
      <c r="J127" s="150">
        <f t="shared" si="26"/>
        <v>-7.725076240573793</v>
      </c>
    </row>
    <row r="128" spans="1:10" ht="12.75">
      <c r="A128" s="116" t="s">
        <v>267</v>
      </c>
      <c r="B128" s="116">
        <v>72.589</v>
      </c>
      <c r="C128" s="116">
        <v>4.139</v>
      </c>
      <c r="D128" s="163">
        <f t="shared" si="21"/>
        <v>17537.81106547475</v>
      </c>
      <c r="E128" s="116">
        <v>170.923</v>
      </c>
      <c r="F128" s="116">
        <v>9.415</v>
      </c>
      <c r="G128" s="163">
        <f>(E128*1000)/F128</f>
        <v>18154.32819968136</v>
      </c>
      <c r="H128" s="150">
        <f t="shared" si="26"/>
        <v>-57.53116900592664</v>
      </c>
      <c r="I128" s="150">
        <f t="shared" si="26"/>
        <v>-56.038236856080715</v>
      </c>
      <c r="J128" s="150">
        <f t="shared" si="26"/>
        <v>-3.395978784923755</v>
      </c>
    </row>
    <row r="129" spans="1:10" ht="12.75">
      <c r="A129" s="116" t="s">
        <v>338</v>
      </c>
      <c r="B129" s="116">
        <v>32.31</v>
      </c>
      <c r="C129" s="116">
        <v>1.605</v>
      </c>
      <c r="D129" s="163">
        <f t="shared" si="21"/>
        <v>20130.84112149533</v>
      </c>
      <c r="E129" s="116">
        <v>24.096</v>
      </c>
      <c r="F129" s="116">
        <v>1.02</v>
      </c>
      <c r="G129" s="163">
        <f>(E129*1000)/F129</f>
        <v>23623.529411764706</v>
      </c>
      <c r="H129" s="150">
        <f t="shared" si="26"/>
        <v>34.0886454183267</v>
      </c>
      <c r="I129" s="150">
        <f t="shared" si="26"/>
        <v>57.35294117647059</v>
      </c>
      <c r="J129" s="150">
        <f t="shared" si="26"/>
        <v>-14.784786089287698</v>
      </c>
    </row>
    <row r="130" spans="1:10" ht="12.75">
      <c r="A130" s="165" t="s">
        <v>15</v>
      </c>
      <c r="B130" s="165">
        <f>SUM(B115:B129)</f>
        <v>33618.48799999999</v>
      </c>
      <c r="C130" s="165">
        <f>SUM(C115:C129)</f>
        <v>5968.8150000000005</v>
      </c>
      <c r="D130" s="166">
        <f t="shared" si="21"/>
        <v>5632.3555010500395</v>
      </c>
      <c r="E130" s="165">
        <f>SUM(E115:E129)</f>
        <v>19434.948</v>
      </c>
      <c r="F130" s="165">
        <f>SUM(F115:F129)</f>
        <v>2983.4320000000007</v>
      </c>
      <c r="G130" s="166">
        <f>(E130*1000)/F130</f>
        <v>6514.292264747443</v>
      </c>
      <c r="H130" s="167">
        <f aca="true" t="shared" si="27" ref="H130:J131">SUM(B130-E130)*100/E130</f>
        <v>72.97956238421627</v>
      </c>
      <c r="I130" s="167">
        <f t="shared" si="27"/>
        <v>100.06539448527734</v>
      </c>
      <c r="J130" s="167">
        <f t="shared" si="27"/>
        <v>-13.538489337822122</v>
      </c>
    </row>
    <row r="131" spans="1:10" ht="12.75">
      <c r="A131" s="168" t="s">
        <v>270</v>
      </c>
      <c r="B131" s="162">
        <f>B133-B130</f>
        <v>89.51200000000972</v>
      </c>
      <c r="C131" s="162">
        <f>C133-C130</f>
        <v>11.18499999999949</v>
      </c>
      <c r="D131" s="163">
        <f t="shared" si="21"/>
        <v>8002.8609745206795</v>
      </c>
      <c r="E131" s="162">
        <f>E133-E130</f>
        <v>600.0519999999997</v>
      </c>
      <c r="F131" s="162">
        <f>F133-F130</f>
        <v>15.567999999999302</v>
      </c>
      <c r="G131" s="163">
        <f>(E131*1000)/F131</f>
        <v>38543.936279549496</v>
      </c>
      <c r="H131" s="150">
        <f t="shared" si="27"/>
        <v>-85.08262617239676</v>
      </c>
      <c r="I131" s="150">
        <f t="shared" si="27"/>
        <v>-28.15390544707096</v>
      </c>
      <c r="J131" s="150">
        <f t="shared" si="27"/>
        <v>-79.23704284773113</v>
      </c>
    </row>
    <row r="132" spans="1:10" ht="12.75">
      <c r="A132" s="168"/>
      <c r="B132" s="162"/>
      <c r="C132" s="169"/>
      <c r="D132" s="169"/>
      <c r="E132" s="169"/>
      <c r="F132" s="169"/>
      <c r="G132" s="169"/>
      <c r="H132" s="150"/>
      <c r="I132" s="150"/>
      <c r="J132" s="150"/>
    </row>
    <row r="133" spans="1:10" ht="12.75">
      <c r="A133" s="171" t="s">
        <v>69</v>
      </c>
      <c r="B133" s="172">
        <f>B9</f>
        <v>33708</v>
      </c>
      <c r="C133" s="172">
        <f>C9</f>
        <v>5980</v>
      </c>
      <c r="D133" s="174">
        <f>(B133*1000)/C133</f>
        <v>5636.789297658863</v>
      </c>
      <c r="E133" s="173">
        <f>E9</f>
        <v>20035</v>
      </c>
      <c r="F133" s="173">
        <f>F9</f>
        <v>2999</v>
      </c>
      <c r="G133" s="174">
        <f>(E133*1000)/F133</f>
        <v>6680.56018672891</v>
      </c>
      <c r="H133" s="154">
        <f>SUM(B133-E133)*100/E133</f>
        <v>68.2455702520589</v>
      </c>
      <c r="I133" s="154">
        <f>SUM(C133-F133)*100/F133</f>
        <v>99.3997999333111</v>
      </c>
      <c r="J133" s="154">
        <f>SUM(D133-G133)*100/G133</f>
        <v>-15.62400247727013</v>
      </c>
    </row>
    <row r="134" spans="1:10" ht="12.75">
      <c r="A134" s="4" t="s">
        <v>155</v>
      </c>
      <c r="B134" s="3"/>
      <c r="C134" s="3"/>
      <c r="D134" s="3"/>
      <c r="E134" s="3"/>
      <c r="F134" s="3"/>
      <c r="G134" s="38"/>
      <c r="H134" s="3"/>
      <c r="I134" s="3"/>
      <c r="J134" s="3"/>
    </row>
  </sheetData>
  <mergeCells count="38">
    <mergeCell ref="A1:J1"/>
    <mergeCell ref="A3:A4"/>
    <mergeCell ref="B3:D3"/>
    <mergeCell ref="E3:G3"/>
    <mergeCell ref="H3:J3"/>
    <mergeCell ref="H4:J4"/>
    <mergeCell ref="A18:J18"/>
    <mergeCell ref="A19:J19"/>
    <mergeCell ref="A23:A24"/>
    <mergeCell ref="B23:D23"/>
    <mergeCell ref="E23:G23"/>
    <mergeCell ref="H23:J23"/>
    <mergeCell ref="H24:J24"/>
    <mergeCell ref="A21:C21"/>
    <mergeCell ref="A47:J47"/>
    <mergeCell ref="A48:J48"/>
    <mergeCell ref="A52:A53"/>
    <mergeCell ref="B52:D52"/>
    <mergeCell ref="E52:G52"/>
    <mergeCell ref="H52:J52"/>
    <mergeCell ref="H53:J53"/>
    <mergeCell ref="A50:C50"/>
    <mergeCell ref="A76:J76"/>
    <mergeCell ref="A77:J77"/>
    <mergeCell ref="A79:C79"/>
    <mergeCell ref="A81:A82"/>
    <mergeCell ref="B81:D81"/>
    <mergeCell ref="E81:G81"/>
    <mergeCell ref="H81:J81"/>
    <mergeCell ref="H82:J82"/>
    <mergeCell ref="A106:J106"/>
    <mergeCell ref="A107:J107"/>
    <mergeCell ref="A109:C109"/>
    <mergeCell ref="A111:A112"/>
    <mergeCell ref="B111:D111"/>
    <mergeCell ref="E111:G111"/>
    <mergeCell ref="H111:J111"/>
    <mergeCell ref="H112:J112"/>
  </mergeCells>
  <printOptions horizontalCentered="1"/>
  <pageMargins left="0.1968503937007874" right="0.1968503937007874" top="0.3937007874015748" bottom="0.1968503937007874" header="0.5118110236220472" footer="0.5118110236220472"/>
  <pageSetup horizontalDpi="1200" verticalDpi="1200" orientation="portrait" paperSize="9" scale="85" r:id="rId1"/>
  <rowBreaks count="1" manualBreakCount="1">
    <brk id="75" max="255" man="1"/>
  </rowBreaks>
  <ignoredErrors>
    <ignoredError sqref="D42 D43:D45 D71:D72 D102:D103 D74 D100:D101 D130:D133" formula="1"/>
    <ignoredError sqref="H7:J7 D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"/>
    </sheetView>
  </sheetViews>
  <sheetFormatPr defaultColWidth="9.140625" defaultRowHeight="12.75"/>
  <cols>
    <col min="1" max="1" width="21.7109375" style="349" customWidth="1"/>
    <col min="2" max="7" width="11.7109375" style="349" customWidth="1"/>
    <col min="8" max="16384" width="9.140625" style="349" customWidth="1"/>
  </cols>
  <sheetData>
    <row r="1" spans="1:7" ht="19.5" customHeight="1">
      <c r="A1" s="517" t="s">
        <v>324</v>
      </c>
      <c r="B1" s="517"/>
      <c r="C1" s="517"/>
      <c r="D1" s="517"/>
      <c r="E1" s="517"/>
      <c r="F1" s="517"/>
      <c r="G1" s="517"/>
    </row>
    <row r="2" ht="19.5" customHeight="1"/>
    <row r="3" spans="1:7" ht="19.5" customHeight="1">
      <c r="A3" s="518" t="s">
        <v>157</v>
      </c>
      <c r="B3" s="541" t="s">
        <v>349</v>
      </c>
      <c r="C3" s="532"/>
      <c r="D3" s="541" t="s">
        <v>348</v>
      </c>
      <c r="E3" s="532"/>
      <c r="F3" s="533" t="s">
        <v>58</v>
      </c>
      <c r="G3" s="533"/>
    </row>
    <row r="4" spans="1:7" ht="19.5" customHeight="1">
      <c r="A4" s="519"/>
      <c r="B4" s="146" t="s">
        <v>1</v>
      </c>
      <c r="C4" s="146" t="s">
        <v>59</v>
      </c>
      <c r="D4" s="146" t="s">
        <v>1</v>
      </c>
      <c r="E4" s="146" t="s">
        <v>59</v>
      </c>
      <c r="F4" s="532" t="s">
        <v>296</v>
      </c>
      <c r="G4" s="532"/>
    </row>
    <row r="5" spans="1:7" ht="19.5" customHeight="1">
      <c r="A5" s="121"/>
      <c r="B5" s="147" t="s">
        <v>232</v>
      </c>
      <c r="C5" s="147" t="s">
        <v>233</v>
      </c>
      <c r="D5" s="147" t="s">
        <v>232</v>
      </c>
      <c r="E5" s="147" t="s">
        <v>233</v>
      </c>
      <c r="F5" s="147" t="s">
        <v>1</v>
      </c>
      <c r="G5" s="147" t="s">
        <v>59</v>
      </c>
    </row>
    <row r="6" spans="1:7" ht="19.5" customHeight="1">
      <c r="A6" s="350" t="s">
        <v>147</v>
      </c>
      <c r="B6" s="351">
        <v>34635</v>
      </c>
      <c r="C6" s="351">
        <v>256.95</v>
      </c>
      <c r="D6" s="351">
        <v>133164</v>
      </c>
      <c r="E6" s="351">
        <v>489.65</v>
      </c>
      <c r="F6" s="352">
        <f aca="true" t="shared" si="0" ref="F6:G11">SUM(B6-D6)*100/D6</f>
        <v>-73.99071821212941</v>
      </c>
      <c r="G6" s="352">
        <f t="shared" si="0"/>
        <v>-47.523741447973045</v>
      </c>
    </row>
    <row r="7" spans="1:7" ht="19.5" customHeight="1">
      <c r="A7" s="350" t="s">
        <v>273</v>
      </c>
      <c r="B7" s="351">
        <v>1260</v>
      </c>
      <c r="C7" s="351">
        <v>3.1666666666666665</v>
      </c>
      <c r="D7" s="351">
        <v>1662</v>
      </c>
      <c r="E7" s="351">
        <v>5.666666666666667</v>
      </c>
      <c r="F7" s="352">
        <f t="shared" si="0"/>
        <v>-24.187725631768952</v>
      </c>
      <c r="G7" s="352">
        <f t="shared" si="0"/>
        <v>-44.117647058823536</v>
      </c>
    </row>
    <row r="8" spans="1:7" ht="19.5" customHeight="1">
      <c r="A8" s="350" t="s">
        <v>64</v>
      </c>
      <c r="B8" s="342">
        <v>84531</v>
      </c>
      <c r="C8" s="342">
        <v>374.79</v>
      </c>
      <c r="D8" s="342">
        <v>194426</v>
      </c>
      <c r="E8" s="342">
        <v>172.29333333333335</v>
      </c>
      <c r="F8" s="352">
        <f t="shared" si="0"/>
        <v>-56.52279016180963</v>
      </c>
      <c r="G8" s="352">
        <f t="shared" si="0"/>
        <v>117.53018108651911</v>
      </c>
    </row>
    <row r="9" spans="1:7" ht="19.5" customHeight="1">
      <c r="A9" s="350" t="s">
        <v>213</v>
      </c>
      <c r="B9" s="342">
        <v>8871852</v>
      </c>
      <c r="C9" s="342">
        <v>30925.483333333334</v>
      </c>
      <c r="D9" s="342">
        <v>5308799</v>
      </c>
      <c r="E9" s="342">
        <v>22372.783333333333</v>
      </c>
      <c r="F9" s="352">
        <f t="shared" si="0"/>
        <v>67.11598988773167</v>
      </c>
      <c r="G9" s="352">
        <f t="shared" si="0"/>
        <v>38.22814476219991</v>
      </c>
    </row>
    <row r="10" spans="1:7" ht="19.5" customHeight="1">
      <c r="A10" s="350" t="s">
        <v>245</v>
      </c>
      <c r="B10" s="342">
        <v>32252643</v>
      </c>
      <c r="C10" s="342">
        <v>32523.2355</v>
      </c>
      <c r="D10" s="342">
        <v>19600395</v>
      </c>
      <c r="E10" s="342">
        <v>16279.596666666665</v>
      </c>
      <c r="F10" s="352">
        <f t="shared" si="0"/>
        <v>64.55098481433664</v>
      </c>
      <c r="G10" s="352">
        <f t="shared" si="0"/>
        <v>99.7791233157087</v>
      </c>
    </row>
    <row r="11" spans="1:7" ht="19.5" customHeight="1">
      <c r="A11" s="353" t="s">
        <v>2</v>
      </c>
      <c r="B11" s="173">
        <f>SUM(B6:B10)</f>
        <v>41244921</v>
      </c>
      <c r="C11" s="173">
        <f>SUM(C6:C10)</f>
        <v>64083.625499999995</v>
      </c>
      <c r="D11" s="173">
        <f>SUM(D6:D10)</f>
        <v>25238446</v>
      </c>
      <c r="E11" s="173">
        <f>SUM(E6:E10)</f>
        <v>39319.99</v>
      </c>
      <c r="F11" s="354">
        <f t="shared" si="0"/>
        <v>63.42100064322502</v>
      </c>
      <c r="G11" s="354">
        <f t="shared" si="0"/>
        <v>62.97976042211608</v>
      </c>
    </row>
    <row r="12" spans="1:7" ht="19.5" customHeight="1">
      <c r="A12" s="4" t="s">
        <v>155</v>
      </c>
      <c r="B12" s="3"/>
      <c r="C12" s="3"/>
      <c r="D12" s="3"/>
      <c r="E12" s="3"/>
      <c r="F12" s="3"/>
      <c r="G12" s="3"/>
    </row>
    <row r="13" spans="1:7" ht="12" customHeight="1">
      <c r="A13" s="247"/>
      <c r="B13" s="3"/>
      <c r="C13" s="3"/>
      <c r="D13" s="3"/>
      <c r="E13" s="3"/>
      <c r="F13" s="3"/>
      <c r="G13" s="3"/>
    </row>
    <row r="14" spans="1:7" ht="12" customHeight="1">
      <c r="A14" s="247"/>
      <c r="B14" s="3"/>
      <c r="C14" s="3"/>
      <c r="D14" s="3"/>
      <c r="E14" s="3"/>
      <c r="F14" s="3"/>
      <c r="G14" s="3"/>
    </row>
    <row r="15" spans="1:7" ht="12" customHeight="1">
      <c r="A15" s="247"/>
      <c r="B15" s="3"/>
      <c r="C15" s="3"/>
      <c r="D15" s="3"/>
      <c r="E15" s="3"/>
      <c r="F15" s="3"/>
      <c r="G15" s="3"/>
    </row>
    <row r="16" spans="1:7" ht="12" customHeight="1">
      <c r="A16" s="247"/>
      <c r="B16" s="3"/>
      <c r="C16" s="3"/>
      <c r="D16" s="3"/>
      <c r="E16" s="3"/>
      <c r="F16" s="3"/>
      <c r="G16" s="3"/>
    </row>
    <row r="17" spans="1:7" ht="12" customHeight="1">
      <c r="A17" s="247"/>
      <c r="B17" s="3"/>
      <c r="C17" s="3"/>
      <c r="D17" s="3"/>
      <c r="E17" s="3"/>
      <c r="F17" s="3"/>
      <c r="G17" s="3"/>
    </row>
  </sheetData>
  <mergeCells count="6">
    <mergeCell ref="A1:G1"/>
    <mergeCell ref="A3:A4"/>
    <mergeCell ref="B3:C3"/>
    <mergeCell ref="D3:E3"/>
    <mergeCell ref="F3:G3"/>
    <mergeCell ref="F4:G4"/>
  </mergeCells>
  <printOptions horizontalCentered="1"/>
  <pageMargins left="0.2755905511811024" right="0.2755905511811024" top="0.7874015748031497" bottom="0.7874015748031497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42" t="s">
        <v>42</v>
      </c>
      <c r="B1" s="542"/>
      <c r="C1" s="542"/>
      <c r="D1" s="542"/>
      <c r="E1" s="542"/>
      <c r="F1" s="542"/>
      <c r="G1" s="542"/>
      <c r="H1" s="542"/>
      <c r="I1" s="542"/>
    </row>
    <row r="2" spans="1:9" ht="18" customHeight="1">
      <c r="A2" s="543" t="s">
        <v>327</v>
      </c>
      <c r="B2" s="543"/>
      <c r="C2" s="543"/>
      <c r="D2" s="543"/>
      <c r="E2" s="543"/>
      <c r="F2" s="543"/>
      <c r="G2" s="543"/>
      <c r="H2" s="543"/>
      <c r="I2" s="543"/>
    </row>
    <row r="3" spans="1:9" ht="18" customHeight="1">
      <c r="A3" s="544" t="s">
        <v>328</v>
      </c>
      <c r="B3" s="544"/>
      <c r="C3" s="544"/>
      <c r="D3" s="544"/>
      <c r="E3" s="544"/>
      <c r="F3" s="544"/>
      <c r="G3" s="544"/>
      <c r="H3" s="544"/>
      <c r="I3" s="544"/>
    </row>
    <row r="4" spans="1:9" ht="18" customHeight="1">
      <c r="A4" s="545">
        <v>41760</v>
      </c>
      <c r="B4" s="545"/>
      <c r="C4" s="545"/>
      <c r="D4" s="545"/>
      <c r="E4" s="545"/>
      <c r="F4" s="545"/>
      <c r="G4" s="545"/>
      <c r="H4" s="545"/>
      <c r="I4" s="545"/>
    </row>
    <row r="5" spans="1:9" ht="19.5" customHeight="1">
      <c r="A5" s="358"/>
      <c r="B5" s="546" t="s">
        <v>51</v>
      </c>
      <c r="C5" s="546"/>
      <c r="D5" s="546"/>
      <c r="E5" s="546"/>
      <c r="F5" s="547" t="s">
        <v>52</v>
      </c>
      <c r="G5" s="548"/>
      <c r="H5" s="549"/>
      <c r="I5" s="338"/>
    </row>
    <row r="6" spans="1:9" ht="19.5" customHeight="1">
      <c r="A6" s="355" t="s">
        <v>172</v>
      </c>
      <c r="B6" s="546" t="s">
        <v>200</v>
      </c>
      <c r="C6" s="546"/>
      <c r="D6" s="546" t="s">
        <v>53</v>
      </c>
      <c r="E6" s="546"/>
      <c r="F6" s="550" t="s">
        <v>173</v>
      </c>
      <c r="G6" s="551"/>
      <c r="H6" s="552"/>
      <c r="I6" s="356" t="s">
        <v>127</v>
      </c>
    </row>
    <row r="7" spans="1:9" ht="19.5" customHeight="1">
      <c r="A7" s="355" t="s">
        <v>97</v>
      </c>
      <c r="B7" s="295" t="s">
        <v>54</v>
      </c>
      <c r="C7" s="295" t="s">
        <v>55</v>
      </c>
      <c r="D7" s="295" t="s">
        <v>54</v>
      </c>
      <c r="E7" s="295" t="s">
        <v>55</v>
      </c>
      <c r="F7" s="555" t="s">
        <v>23</v>
      </c>
      <c r="G7" s="555" t="s">
        <v>26</v>
      </c>
      <c r="H7" s="555" t="s">
        <v>2</v>
      </c>
      <c r="I7" s="553" t="s">
        <v>56</v>
      </c>
    </row>
    <row r="8" spans="1:9" ht="19.5" customHeight="1">
      <c r="A8" s="359"/>
      <c r="B8" s="295" t="s">
        <v>57</v>
      </c>
      <c r="C8" s="316" t="s">
        <v>50</v>
      </c>
      <c r="D8" s="295" t="s">
        <v>57</v>
      </c>
      <c r="E8" s="316" t="s">
        <v>50</v>
      </c>
      <c r="F8" s="556"/>
      <c r="G8" s="556"/>
      <c r="H8" s="556"/>
      <c r="I8" s="554"/>
    </row>
    <row r="9" spans="1:9" ht="22.5" customHeight="1">
      <c r="A9" s="339" t="s">
        <v>43</v>
      </c>
      <c r="B9" s="317">
        <f aca="true" t="shared" si="0" ref="B9:H9">SUM(B10:B13)</f>
        <v>244632</v>
      </c>
      <c r="C9" s="317">
        <f t="shared" si="0"/>
        <v>869291</v>
      </c>
      <c r="D9" s="317">
        <f t="shared" si="0"/>
        <v>1001078</v>
      </c>
      <c r="E9" s="317">
        <f t="shared" si="0"/>
        <v>3090511</v>
      </c>
      <c r="F9" s="317">
        <f t="shared" si="0"/>
        <v>22697</v>
      </c>
      <c r="G9" s="317">
        <f t="shared" si="0"/>
        <v>295</v>
      </c>
      <c r="H9" s="317">
        <f t="shared" si="0"/>
        <v>22992</v>
      </c>
      <c r="I9" s="340">
        <f aca="true" t="shared" si="1" ref="I9:I27">(H9/D9)*1000</f>
        <v>22.967241313863656</v>
      </c>
    </row>
    <row r="10" spans="1:9" ht="22.5" customHeight="1">
      <c r="A10" s="360" t="s">
        <v>239</v>
      </c>
      <c r="B10" s="318">
        <v>137379</v>
      </c>
      <c r="C10" s="319">
        <v>480826</v>
      </c>
      <c r="D10" s="320">
        <v>503881</v>
      </c>
      <c r="E10" s="341">
        <v>1511643</v>
      </c>
      <c r="F10" s="271">
        <v>10874</v>
      </c>
      <c r="G10" s="271">
        <v>0</v>
      </c>
      <c r="H10" s="342">
        <f aca="true" t="shared" si="2" ref="H10:H16">F10+G10</f>
        <v>10874</v>
      </c>
      <c r="I10" s="343">
        <f t="shared" si="1"/>
        <v>21.58049221939307</v>
      </c>
    </row>
    <row r="11" spans="1:9" ht="27.75" customHeight="1">
      <c r="A11" s="361" t="s">
        <v>240</v>
      </c>
      <c r="B11" s="318">
        <v>26163</v>
      </c>
      <c r="C11" s="319">
        <v>104651</v>
      </c>
      <c r="D11" s="320">
        <v>174554</v>
      </c>
      <c r="E11" s="344">
        <v>610939</v>
      </c>
      <c r="F11" s="271">
        <v>5814</v>
      </c>
      <c r="G11" s="271">
        <v>0</v>
      </c>
      <c r="H11" s="342">
        <f t="shared" si="2"/>
        <v>5814</v>
      </c>
      <c r="I11" s="343">
        <f t="shared" si="1"/>
        <v>33.30774430835157</v>
      </c>
    </row>
    <row r="12" spans="1:9" ht="27.75" customHeight="1">
      <c r="A12" s="361" t="s">
        <v>276</v>
      </c>
      <c r="B12" s="318">
        <v>76073</v>
      </c>
      <c r="C12" s="319">
        <v>266255</v>
      </c>
      <c r="D12" s="320">
        <v>285838</v>
      </c>
      <c r="E12" s="344">
        <v>857514</v>
      </c>
      <c r="F12" s="271">
        <v>5374</v>
      </c>
      <c r="G12" s="271">
        <v>192</v>
      </c>
      <c r="H12" s="342">
        <f t="shared" si="2"/>
        <v>5566</v>
      </c>
      <c r="I12" s="343">
        <f t="shared" si="1"/>
        <v>19.472568377892372</v>
      </c>
    </row>
    <row r="13" spans="1:9" ht="21.75" customHeight="1">
      <c r="A13" s="361" t="s">
        <v>241</v>
      </c>
      <c r="B13" s="318">
        <v>5017</v>
      </c>
      <c r="C13" s="319">
        <v>17559</v>
      </c>
      <c r="D13" s="321">
        <v>36805</v>
      </c>
      <c r="E13" s="344">
        <v>110415</v>
      </c>
      <c r="F13" s="271">
        <v>635</v>
      </c>
      <c r="G13" s="272">
        <v>103</v>
      </c>
      <c r="H13" s="342">
        <f t="shared" si="2"/>
        <v>738</v>
      </c>
      <c r="I13" s="343">
        <f t="shared" si="1"/>
        <v>20.051623420730877</v>
      </c>
    </row>
    <row r="14" spans="1:9" ht="22.5" customHeight="1">
      <c r="A14" s="339" t="s">
        <v>44</v>
      </c>
      <c r="B14" s="322">
        <v>41228</v>
      </c>
      <c r="C14" s="322">
        <v>138857</v>
      </c>
      <c r="D14" s="323">
        <v>447355</v>
      </c>
      <c r="E14" s="323">
        <v>1148377</v>
      </c>
      <c r="F14" s="345">
        <v>2858</v>
      </c>
      <c r="G14" s="317">
        <v>9350</v>
      </c>
      <c r="H14" s="346">
        <f t="shared" si="2"/>
        <v>12208</v>
      </c>
      <c r="I14" s="340">
        <f t="shared" si="1"/>
        <v>27.2892892669133</v>
      </c>
    </row>
    <row r="15" spans="1:9" ht="22.5" customHeight="1">
      <c r="A15" s="339" t="s">
        <v>45</v>
      </c>
      <c r="B15" s="322">
        <v>10167</v>
      </c>
      <c r="C15" s="322">
        <v>39798.8</v>
      </c>
      <c r="D15" s="323">
        <v>152665</v>
      </c>
      <c r="E15" s="323">
        <v>458607</v>
      </c>
      <c r="F15" s="345">
        <v>4233.8</v>
      </c>
      <c r="G15" s="317">
        <v>0</v>
      </c>
      <c r="H15" s="346">
        <f t="shared" si="2"/>
        <v>4233.8</v>
      </c>
      <c r="I15" s="340">
        <f t="shared" si="1"/>
        <v>27.7326171683097</v>
      </c>
    </row>
    <row r="16" spans="1:9" ht="22.5" customHeight="1">
      <c r="A16" s="339" t="s">
        <v>72</v>
      </c>
      <c r="B16" s="322">
        <v>23705</v>
      </c>
      <c r="C16" s="322">
        <v>76700</v>
      </c>
      <c r="D16" s="323">
        <v>34335</v>
      </c>
      <c r="E16" s="323">
        <v>111200</v>
      </c>
      <c r="F16" s="345">
        <v>545</v>
      </c>
      <c r="G16" s="317">
        <v>0</v>
      </c>
      <c r="H16" s="346">
        <f t="shared" si="2"/>
        <v>545</v>
      </c>
      <c r="I16" s="340">
        <f t="shared" si="1"/>
        <v>15.873015873015872</v>
      </c>
    </row>
    <row r="17" spans="1:9" ht="22.5" customHeight="1">
      <c r="A17" s="339" t="s">
        <v>46</v>
      </c>
      <c r="B17" s="322">
        <f aca="true" t="shared" si="3" ref="B17:H17">SUM(B18:B20)</f>
        <v>12494.4</v>
      </c>
      <c r="C17" s="322">
        <f t="shared" si="3"/>
        <v>41785.5</v>
      </c>
      <c r="D17" s="322">
        <f t="shared" si="3"/>
        <v>134511.1</v>
      </c>
      <c r="E17" s="322">
        <f t="shared" si="3"/>
        <v>308917.10000000003</v>
      </c>
      <c r="F17" s="322">
        <f t="shared" si="3"/>
        <v>1217.8000000000002</v>
      </c>
      <c r="G17" s="322">
        <f t="shared" si="3"/>
        <v>769.5</v>
      </c>
      <c r="H17" s="322">
        <f t="shared" si="3"/>
        <v>1987.3000000000002</v>
      </c>
      <c r="I17" s="340">
        <f t="shared" si="1"/>
        <v>14.77424539684829</v>
      </c>
    </row>
    <row r="18" spans="1:9" ht="22.5" customHeight="1">
      <c r="A18" s="360" t="s">
        <v>228</v>
      </c>
      <c r="B18" s="318">
        <v>3052</v>
      </c>
      <c r="C18" s="318">
        <v>14497</v>
      </c>
      <c r="D18" s="318">
        <v>11858.5</v>
      </c>
      <c r="E18" s="321">
        <v>65150.6</v>
      </c>
      <c r="F18" s="272">
        <v>456.6</v>
      </c>
      <c r="G18" s="317">
        <v>0</v>
      </c>
      <c r="H18" s="351">
        <f>SUM(F18:G18)</f>
        <v>456.6</v>
      </c>
      <c r="I18" s="343">
        <f t="shared" si="1"/>
        <v>38.504026647552394</v>
      </c>
    </row>
    <row r="19" spans="1:9" ht="22.5" customHeight="1">
      <c r="A19" s="361" t="s">
        <v>229</v>
      </c>
      <c r="B19" s="318">
        <v>4187.4</v>
      </c>
      <c r="C19" s="318">
        <v>14760.6</v>
      </c>
      <c r="D19" s="318">
        <v>98473.7</v>
      </c>
      <c r="E19" s="321">
        <v>192023.7</v>
      </c>
      <c r="F19" s="272">
        <v>761.2</v>
      </c>
      <c r="G19" s="317">
        <v>0</v>
      </c>
      <c r="H19" s="351">
        <f>SUM(F19:G19)</f>
        <v>761.2</v>
      </c>
      <c r="I19" s="343">
        <f t="shared" si="1"/>
        <v>7.729982726352316</v>
      </c>
    </row>
    <row r="20" spans="1:9" ht="22.5" customHeight="1">
      <c r="A20" s="361" t="s">
        <v>230</v>
      </c>
      <c r="B20" s="318">
        <v>5255</v>
      </c>
      <c r="C20" s="318">
        <v>12527.9</v>
      </c>
      <c r="D20" s="318">
        <v>24178.9</v>
      </c>
      <c r="E20" s="321">
        <v>51742.8</v>
      </c>
      <c r="F20" s="272">
        <v>0</v>
      </c>
      <c r="G20" s="271">
        <v>769.5</v>
      </c>
      <c r="H20" s="351">
        <f>SUM(F20:G20)</f>
        <v>769.5</v>
      </c>
      <c r="I20" s="343">
        <f t="shared" si="1"/>
        <v>31.825269139621735</v>
      </c>
    </row>
    <row r="21" spans="1:9" ht="22.5" customHeight="1">
      <c r="A21" s="339" t="s">
        <v>47</v>
      </c>
      <c r="B21" s="322">
        <v>5510</v>
      </c>
      <c r="C21" s="322">
        <v>8634.2</v>
      </c>
      <c r="D21" s="323">
        <v>99137</v>
      </c>
      <c r="E21" s="323">
        <v>155347.7</v>
      </c>
      <c r="F21" s="345">
        <v>0</v>
      </c>
      <c r="G21" s="317">
        <v>1625</v>
      </c>
      <c r="H21" s="346">
        <f aca="true" t="shared" si="4" ref="H21:H26">F21+G21</f>
        <v>1625</v>
      </c>
      <c r="I21" s="340">
        <f t="shared" si="1"/>
        <v>16.391458284999548</v>
      </c>
    </row>
    <row r="22" spans="1:9" ht="22.5" customHeight="1">
      <c r="A22" s="339" t="s">
        <v>73</v>
      </c>
      <c r="B22" s="317">
        <v>1603</v>
      </c>
      <c r="C22" s="317">
        <v>3715.8</v>
      </c>
      <c r="D22" s="317">
        <v>20585</v>
      </c>
      <c r="E22" s="317">
        <v>47258.1</v>
      </c>
      <c r="F22" s="345">
        <v>2.1</v>
      </c>
      <c r="G22" s="317">
        <v>167.7</v>
      </c>
      <c r="H22" s="346">
        <f t="shared" si="4"/>
        <v>169.79999999999998</v>
      </c>
      <c r="I22" s="340">
        <f t="shared" si="1"/>
        <v>8.248724799611367</v>
      </c>
    </row>
    <row r="23" spans="1:9" ht="22.5" customHeight="1">
      <c r="A23" s="339" t="s">
        <v>115</v>
      </c>
      <c r="B23" s="317">
        <v>1725</v>
      </c>
      <c r="C23" s="317">
        <v>6696.6</v>
      </c>
      <c r="D23" s="317">
        <v>6024.3</v>
      </c>
      <c r="E23" s="317">
        <v>27826.8</v>
      </c>
      <c r="F23" s="345">
        <v>261.8</v>
      </c>
      <c r="G23" s="317">
        <v>0</v>
      </c>
      <c r="H23" s="346">
        <f t="shared" si="4"/>
        <v>261.8</v>
      </c>
      <c r="I23" s="340">
        <f t="shared" si="1"/>
        <v>43.457331142207394</v>
      </c>
    </row>
    <row r="24" spans="1:9" ht="22.5" customHeight="1">
      <c r="A24" s="339" t="s">
        <v>74</v>
      </c>
      <c r="B24" s="317">
        <v>95</v>
      </c>
      <c r="C24" s="317">
        <v>209</v>
      </c>
      <c r="D24" s="317">
        <v>6383</v>
      </c>
      <c r="E24" s="317">
        <v>14221.3</v>
      </c>
      <c r="F24" s="345">
        <v>0</v>
      </c>
      <c r="G24" s="317">
        <v>121.7</v>
      </c>
      <c r="H24" s="346">
        <f t="shared" si="4"/>
        <v>121.7</v>
      </c>
      <c r="I24" s="340">
        <f t="shared" si="1"/>
        <v>19.066269779100736</v>
      </c>
    </row>
    <row r="25" spans="1:9" ht="22.5" customHeight="1">
      <c r="A25" s="339" t="s">
        <v>75</v>
      </c>
      <c r="B25" s="317">
        <v>0</v>
      </c>
      <c r="C25" s="317">
        <v>0</v>
      </c>
      <c r="D25" s="317">
        <v>13217</v>
      </c>
      <c r="E25" s="317">
        <v>27755.7</v>
      </c>
      <c r="F25" s="345">
        <v>308.4</v>
      </c>
      <c r="G25" s="317">
        <v>0</v>
      </c>
      <c r="H25" s="346">
        <f t="shared" si="4"/>
        <v>308.4</v>
      </c>
      <c r="I25" s="340">
        <f t="shared" si="1"/>
        <v>23.333585533782248</v>
      </c>
    </row>
    <row r="26" spans="1:9" ht="22.5" customHeight="1">
      <c r="A26" s="347" t="s">
        <v>48</v>
      </c>
      <c r="B26" s="317">
        <v>345</v>
      </c>
      <c r="C26" s="317">
        <v>938.4</v>
      </c>
      <c r="D26" s="317">
        <v>10783</v>
      </c>
      <c r="E26" s="317">
        <v>27604.5</v>
      </c>
      <c r="F26" s="345">
        <v>110.6</v>
      </c>
      <c r="G26" s="317">
        <v>3</v>
      </c>
      <c r="H26" s="346">
        <f t="shared" si="4"/>
        <v>113.6</v>
      </c>
      <c r="I26" s="340">
        <f t="shared" si="1"/>
        <v>10.535101548734119</v>
      </c>
    </row>
    <row r="27" spans="1:9" ht="22.5" customHeight="1">
      <c r="A27" s="357" t="s">
        <v>49</v>
      </c>
      <c r="B27" s="348">
        <f aca="true" t="shared" si="5" ref="B27:H27">B9+B14+B15+B16+B17+B21+B22+B23+B24+B25+B26</f>
        <v>341504.4</v>
      </c>
      <c r="C27" s="348">
        <f t="shared" si="5"/>
        <v>1186626.3</v>
      </c>
      <c r="D27" s="348">
        <f t="shared" si="5"/>
        <v>1926073.4000000001</v>
      </c>
      <c r="E27" s="348">
        <f t="shared" si="5"/>
        <v>5417626.199999999</v>
      </c>
      <c r="F27" s="348">
        <f t="shared" si="5"/>
        <v>32234.499999999996</v>
      </c>
      <c r="G27" s="348">
        <f t="shared" si="5"/>
        <v>12331.900000000001</v>
      </c>
      <c r="H27" s="348">
        <f t="shared" si="5"/>
        <v>44566.40000000001</v>
      </c>
      <c r="I27" s="362">
        <f t="shared" si="1"/>
        <v>23.138474369668366</v>
      </c>
    </row>
    <row r="28" spans="1:8" ht="15">
      <c r="A28" s="108" t="s">
        <v>164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mergeCells count="13">
    <mergeCell ref="D6:E6"/>
    <mergeCell ref="F5:H5"/>
    <mergeCell ref="F6:H6"/>
    <mergeCell ref="I7:I8"/>
    <mergeCell ref="F7:F8"/>
    <mergeCell ref="G7:G8"/>
    <mergeCell ref="H7:H8"/>
    <mergeCell ref="B5:E5"/>
    <mergeCell ref="B6:C6"/>
    <mergeCell ref="A1:I1"/>
    <mergeCell ref="A2:I2"/>
    <mergeCell ref="A3:I3"/>
    <mergeCell ref="A4:I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42" t="s">
        <v>42</v>
      </c>
      <c r="B1" s="542"/>
      <c r="C1" s="542"/>
      <c r="D1" s="542"/>
      <c r="E1" s="542"/>
      <c r="F1" s="542"/>
      <c r="G1" s="542"/>
      <c r="H1" s="542"/>
      <c r="I1" s="542"/>
    </row>
    <row r="2" spans="1:9" ht="18" customHeight="1">
      <c r="A2" s="543" t="s">
        <v>277</v>
      </c>
      <c r="B2" s="543"/>
      <c r="C2" s="543"/>
      <c r="D2" s="543"/>
      <c r="E2" s="543"/>
      <c r="F2" s="543"/>
      <c r="G2" s="543"/>
      <c r="H2" s="543"/>
      <c r="I2" s="543"/>
    </row>
    <row r="3" spans="1:9" ht="18" customHeight="1">
      <c r="A3" s="544" t="s">
        <v>167</v>
      </c>
      <c r="B3" s="544"/>
      <c r="C3" s="544"/>
      <c r="D3" s="544"/>
      <c r="E3" s="544"/>
      <c r="F3" s="544"/>
      <c r="G3" s="544"/>
      <c r="H3" s="544"/>
      <c r="I3" s="544"/>
    </row>
    <row r="4" spans="1:9" ht="17.25" customHeight="1">
      <c r="A4" s="545">
        <v>41609</v>
      </c>
      <c r="B4" s="545"/>
      <c r="C4" s="545"/>
      <c r="D4" s="545"/>
      <c r="E4" s="545"/>
      <c r="F4" s="545"/>
      <c r="G4" s="545"/>
      <c r="H4" s="545"/>
      <c r="I4" s="545"/>
    </row>
    <row r="5" spans="1:9" ht="19.5" customHeight="1">
      <c r="A5" s="358"/>
      <c r="B5" s="546" t="s">
        <v>51</v>
      </c>
      <c r="C5" s="546"/>
      <c r="D5" s="546"/>
      <c r="E5" s="546"/>
      <c r="F5" s="547" t="s">
        <v>52</v>
      </c>
      <c r="G5" s="548"/>
      <c r="H5" s="549"/>
      <c r="I5" s="338"/>
    </row>
    <row r="6" spans="1:9" ht="19.5" customHeight="1">
      <c r="A6" s="355" t="s">
        <v>172</v>
      </c>
      <c r="B6" s="546" t="s">
        <v>200</v>
      </c>
      <c r="C6" s="546"/>
      <c r="D6" s="546" t="s">
        <v>53</v>
      </c>
      <c r="E6" s="546"/>
      <c r="F6" s="550" t="s">
        <v>173</v>
      </c>
      <c r="G6" s="551"/>
      <c r="H6" s="552"/>
      <c r="I6" s="356" t="s">
        <v>127</v>
      </c>
    </row>
    <row r="7" spans="1:9" ht="19.5" customHeight="1">
      <c r="A7" s="355" t="s">
        <v>97</v>
      </c>
      <c r="B7" s="295" t="s">
        <v>54</v>
      </c>
      <c r="C7" s="295" t="s">
        <v>55</v>
      </c>
      <c r="D7" s="295" t="s">
        <v>54</v>
      </c>
      <c r="E7" s="295" t="s">
        <v>55</v>
      </c>
      <c r="F7" s="555" t="s">
        <v>23</v>
      </c>
      <c r="G7" s="555" t="s">
        <v>26</v>
      </c>
      <c r="H7" s="555" t="s">
        <v>2</v>
      </c>
      <c r="I7" s="553" t="s">
        <v>56</v>
      </c>
    </row>
    <row r="8" spans="1:9" ht="19.5" customHeight="1">
      <c r="A8" s="359"/>
      <c r="B8" s="295" t="s">
        <v>57</v>
      </c>
      <c r="C8" s="316" t="s">
        <v>50</v>
      </c>
      <c r="D8" s="295" t="s">
        <v>57</v>
      </c>
      <c r="E8" s="316" t="s">
        <v>50</v>
      </c>
      <c r="F8" s="556"/>
      <c r="G8" s="556"/>
      <c r="H8" s="556"/>
      <c r="I8" s="554"/>
    </row>
    <row r="9" spans="1:9" ht="22.5" customHeight="1">
      <c r="A9" s="339" t="s">
        <v>43</v>
      </c>
      <c r="B9" s="317">
        <f aca="true" t="shared" si="0" ref="B9:H9">SUM(B10:B13)</f>
        <v>193981</v>
      </c>
      <c r="C9" s="317">
        <f t="shared" si="0"/>
        <v>693617</v>
      </c>
      <c r="D9" s="317">
        <f t="shared" si="0"/>
        <v>1037797</v>
      </c>
      <c r="E9" s="317">
        <f t="shared" si="0"/>
        <v>3198098</v>
      </c>
      <c r="F9" s="317">
        <f t="shared" si="0"/>
        <v>27380</v>
      </c>
      <c r="G9" s="317">
        <f t="shared" si="0"/>
        <v>280</v>
      </c>
      <c r="H9" s="317">
        <f t="shared" si="0"/>
        <v>27660</v>
      </c>
      <c r="I9" s="340">
        <f aca="true" t="shared" si="1" ref="I9:I26">(H9/D9)*1000</f>
        <v>26.65261125248965</v>
      </c>
    </row>
    <row r="10" spans="1:9" ht="22.5" customHeight="1">
      <c r="A10" s="360" t="s">
        <v>239</v>
      </c>
      <c r="B10" s="318">
        <v>117969</v>
      </c>
      <c r="C10" s="319">
        <v>412890</v>
      </c>
      <c r="D10" s="320">
        <v>521187</v>
      </c>
      <c r="E10" s="341">
        <v>1563561</v>
      </c>
      <c r="F10" s="271">
        <v>13355</v>
      </c>
      <c r="G10" s="271">
        <v>0</v>
      </c>
      <c r="H10" s="342">
        <f aca="true" t="shared" si="2" ref="H10:H16">F10+G10</f>
        <v>13355</v>
      </c>
      <c r="I10" s="343">
        <f t="shared" si="1"/>
        <v>25.624200143134807</v>
      </c>
    </row>
    <row r="11" spans="1:9" ht="27.75" customHeight="1">
      <c r="A11" s="361" t="s">
        <v>240</v>
      </c>
      <c r="B11" s="318">
        <v>29368</v>
      </c>
      <c r="C11" s="319">
        <v>117472</v>
      </c>
      <c r="D11" s="320">
        <v>169415</v>
      </c>
      <c r="E11" s="344">
        <v>592952</v>
      </c>
      <c r="F11" s="271">
        <v>5213</v>
      </c>
      <c r="G11" s="271">
        <v>0</v>
      </c>
      <c r="H11" s="342">
        <f t="shared" si="2"/>
        <v>5213</v>
      </c>
      <c r="I11" s="343">
        <f t="shared" si="1"/>
        <v>30.7705929227046</v>
      </c>
    </row>
    <row r="12" spans="1:9" ht="27.75" customHeight="1">
      <c r="A12" s="361" t="s">
        <v>276</v>
      </c>
      <c r="B12" s="318">
        <v>42416</v>
      </c>
      <c r="C12" s="319">
        <v>148457</v>
      </c>
      <c r="D12" s="320">
        <v>309593</v>
      </c>
      <c r="E12" s="344">
        <v>928779</v>
      </c>
      <c r="F12" s="271">
        <v>8133</v>
      </c>
      <c r="G12" s="271">
        <v>182</v>
      </c>
      <c r="H12" s="342">
        <f t="shared" si="2"/>
        <v>8315</v>
      </c>
      <c r="I12" s="343">
        <f t="shared" si="1"/>
        <v>26.857842393077362</v>
      </c>
    </row>
    <row r="13" spans="1:9" ht="30.75" customHeight="1">
      <c r="A13" s="361" t="s">
        <v>241</v>
      </c>
      <c r="B13" s="318">
        <v>4228</v>
      </c>
      <c r="C13" s="319">
        <v>14798</v>
      </c>
      <c r="D13" s="321">
        <v>37602</v>
      </c>
      <c r="E13" s="344">
        <v>112806</v>
      </c>
      <c r="F13" s="271">
        <v>679</v>
      </c>
      <c r="G13" s="272">
        <v>98</v>
      </c>
      <c r="H13" s="342">
        <f t="shared" si="2"/>
        <v>777</v>
      </c>
      <c r="I13" s="343">
        <f t="shared" si="1"/>
        <v>20.663794479017074</v>
      </c>
    </row>
    <row r="14" spans="1:9" ht="22.5" customHeight="1">
      <c r="A14" s="339" t="s">
        <v>44</v>
      </c>
      <c r="B14" s="322">
        <v>45915</v>
      </c>
      <c r="C14" s="322">
        <v>151582</v>
      </c>
      <c r="D14" s="323">
        <v>453167</v>
      </c>
      <c r="E14" s="323">
        <v>1169662</v>
      </c>
      <c r="F14" s="345">
        <v>3486</v>
      </c>
      <c r="G14" s="317">
        <v>8211</v>
      </c>
      <c r="H14" s="346">
        <f t="shared" si="2"/>
        <v>11697</v>
      </c>
      <c r="I14" s="340">
        <f t="shared" si="1"/>
        <v>25.81167649012395</v>
      </c>
    </row>
    <row r="15" spans="1:9" ht="22.5" customHeight="1">
      <c r="A15" s="339" t="s">
        <v>45</v>
      </c>
      <c r="B15" s="322">
        <v>17027.5</v>
      </c>
      <c r="C15" s="322">
        <v>57742</v>
      </c>
      <c r="D15" s="323">
        <v>162328.5</v>
      </c>
      <c r="E15" s="323">
        <v>471505</v>
      </c>
      <c r="F15" s="345">
        <v>4010</v>
      </c>
      <c r="G15" s="317">
        <v>0</v>
      </c>
      <c r="H15" s="346">
        <f t="shared" si="2"/>
        <v>4010</v>
      </c>
      <c r="I15" s="340">
        <f t="shared" si="1"/>
        <v>24.702994236994734</v>
      </c>
    </row>
    <row r="16" spans="1:9" ht="22.5" customHeight="1">
      <c r="A16" s="339" t="s">
        <v>72</v>
      </c>
      <c r="B16" s="322">
        <v>16810</v>
      </c>
      <c r="C16" s="322">
        <v>56200</v>
      </c>
      <c r="D16" s="323">
        <v>65150</v>
      </c>
      <c r="E16" s="323">
        <v>208800</v>
      </c>
      <c r="F16" s="345">
        <v>1650</v>
      </c>
      <c r="G16" s="317">
        <v>0</v>
      </c>
      <c r="H16" s="346">
        <f t="shared" si="2"/>
        <v>1650</v>
      </c>
      <c r="I16" s="340">
        <f t="shared" si="1"/>
        <v>25.32617037605526</v>
      </c>
    </row>
    <row r="17" spans="1:9" ht="22.5" customHeight="1">
      <c r="A17" s="339" t="s">
        <v>46</v>
      </c>
      <c r="B17" s="322">
        <f aca="true" t="shared" si="3" ref="B17:H17">SUM(B18:B20)</f>
        <v>12494.4</v>
      </c>
      <c r="C17" s="322">
        <f t="shared" si="3"/>
        <v>41785.5</v>
      </c>
      <c r="D17" s="322">
        <f t="shared" si="3"/>
        <v>134511.1</v>
      </c>
      <c r="E17" s="322">
        <f t="shared" si="3"/>
        <v>308917.10000000003</v>
      </c>
      <c r="F17" s="322">
        <f t="shared" si="3"/>
        <v>1079.8</v>
      </c>
      <c r="G17" s="322">
        <f t="shared" si="3"/>
        <v>723.4</v>
      </c>
      <c r="H17" s="322">
        <f t="shared" si="3"/>
        <v>1803.1999999999998</v>
      </c>
      <c r="I17" s="340">
        <f t="shared" si="1"/>
        <v>13.405585115280449</v>
      </c>
    </row>
    <row r="18" spans="1:9" ht="22.5" customHeight="1">
      <c r="A18" s="360" t="s">
        <v>228</v>
      </c>
      <c r="B18" s="318">
        <v>3052</v>
      </c>
      <c r="C18" s="318">
        <v>14497</v>
      </c>
      <c r="D18" s="318">
        <v>11858.5</v>
      </c>
      <c r="E18" s="321">
        <v>65150.6</v>
      </c>
      <c r="F18" s="272">
        <v>398.8</v>
      </c>
      <c r="G18" s="317">
        <v>0</v>
      </c>
      <c r="H18" s="351">
        <f>SUM(F18:G18)</f>
        <v>398.8</v>
      </c>
      <c r="I18" s="343">
        <f t="shared" si="1"/>
        <v>33.62988573596998</v>
      </c>
    </row>
    <row r="19" spans="1:9" ht="22.5" customHeight="1">
      <c r="A19" s="361" t="s">
        <v>229</v>
      </c>
      <c r="B19" s="318">
        <v>4187.4</v>
      </c>
      <c r="C19" s="318">
        <v>14760.6</v>
      </c>
      <c r="D19" s="318">
        <v>98473.7</v>
      </c>
      <c r="E19" s="321">
        <v>192023.7</v>
      </c>
      <c r="F19" s="272">
        <v>681</v>
      </c>
      <c r="G19" s="317">
        <v>0</v>
      </c>
      <c r="H19" s="351">
        <f>SUM(F19:G19)</f>
        <v>681</v>
      </c>
      <c r="I19" s="343">
        <f t="shared" si="1"/>
        <v>6.915552071263698</v>
      </c>
    </row>
    <row r="20" spans="1:9" ht="22.5" customHeight="1">
      <c r="A20" s="361" t="s">
        <v>230</v>
      </c>
      <c r="B20" s="318">
        <v>5255</v>
      </c>
      <c r="C20" s="318">
        <v>12527.9</v>
      </c>
      <c r="D20" s="318">
        <v>24178.9</v>
      </c>
      <c r="E20" s="321">
        <v>51742.8</v>
      </c>
      <c r="F20" s="272">
        <v>0</v>
      </c>
      <c r="G20" s="271">
        <v>723.4</v>
      </c>
      <c r="H20" s="351">
        <f>SUM(F20:G20)</f>
        <v>723.4</v>
      </c>
      <c r="I20" s="343">
        <f t="shared" si="1"/>
        <v>29.91864807745596</v>
      </c>
    </row>
    <row r="21" spans="1:9" ht="22.5" customHeight="1">
      <c r="A21" s="339" t="s">
        <v>47</v>
      </c>
      <c r="B21" s="322">
        <v>5465</v>
      </c>
      <c r="C21" s="322">
        <v>8580</v>
      </c>
      <c r="D21" s="323">
        <v>102840</v>
      </c>
      <c r="E21" s="323">
        <v>161459</v>
      </c>
      <c r="F21" s="345">
        <v>0</v>
      </c>
      <c r="G21" s="317">
        <v>1357</v>
      </c>
      <c r="H21" s="346">
        <f aca="true" t="shared" si="4" ref="H21:H26">F21+G21</f>
        <v>1357</v>
      </c>
      <c r="I21" s="340">
        <f t="shared" si="1"/>
        <v>13.195254764683003</v>
      </c>
    </row>
    <row r="22" spans="1:9" ht="22.5" customHeight="1">
      <c r="A22" s="339" t="s">
        <v>73</v>
      </c>
      <c r="B22" s="317">
        <v>1251</v>
      </c>
      <c r="C22" s="317">
        <v>2899.8</v>
      </c>
      <c r="D22" s="317">
        <v>20890</v>
      </c>
      <c r="E22" s="317">
        <v>47952</v>
      </c>
      <c r="F22" s="345">
        <v>1.6</v>
      </c>
      <c r="G22" s="317">
        <v>169.9</v>
      </c>
      <c r="H22" s="346">
        <f t="shared" si="4"/>
        <v>171.5</v>
      </c>
      <c r="I22" s="340">
        <f t="shared" si="1"/>
        <v>8.209669698420296</v>
      </c>
    </row>
    <row r="23" spans="1:9" ht="22.5" customHeight="1">
      <c r="A23" s="339" t="s">
        <v>115</v>
      </c>
      <c r="B23" s="317">
        <v>1495</v>
      </c>
      <c r="C23" s="317">
        <v>6650.7</v>
      </c>
      <c r="D23" s="317">
        <v>6382.6</v>
      </c>
      <c r="E23" s="317">
        <v>28975.9</v>
      </c>
      <c r="F23" s="345">
        <v>265.5</v>
      </c>
      <c r="G23" s="317">
        <v>0</v>
      </c>
      <c r="H23" s="346">
        <f t="shared" si="4"/>
        <v>265.5</v>
      </c>
      <c r="I23" s="340">
        <f t="shared" si="1"/>
        <v>41.59746811644157</v>
      </c>
    </row>
    <row r="24" spans="1:9" ht="22.5" customHeight="1">
      <c r="A24" s="339" t="s">
        <v>74</v>
      </c>
      <c r="B24" s="317">
        <v>95</v>
      </c>
      <c r="C24" s="317">
        <v>209</v>
      </c>
      <c r="D24" s="317">
        <v>6383</v>
      </c>
      <c r="E24" s="317">
        <v>14221</v>
      </c>
      <c r="F24" s="345">
        <v>0</v>
      </c>
      <c r="G24" s="317">
        <v>121.7</v>
      </c>
      <c r="H24" s="346">
        <f t="shared" si="4"/>
        <v>121.7</v>
      </c>
      <c r="I24" s="340">
        <f t="shared" si="1"/>
        <v>19.066269779100736</v>
      </c>
    </row>
    <row r="25" spans="1:9" ht="22.5" customHeight="1">
      <c r="A25" s="339" t="s">
        <v>75</v>
      </c>
      <c r="B25" s="317">
        <v>4</v>
      </c>
      <c r="C25" s="317">
        <v>8.6</v>
      </c>
      <c r="D25" s="317">
        <v>13276</v>
      </c>
      <c r="E25" s="317">
        <v>27879.6</v>
      </c>
      <c r="F25" s="345">
        <v>281.1</v>
      </c>
      <c r="G25" s="317">
        <v>0</v>
      </c>
      <c r="H25" s="346">
        <f t="shared" si="4"/>
        <v>281.1</v>
      </c>
      <c r="I25" s="340">
        <f t="shared" si="1"/>
        <v>21.173546248870146</v>
      </c>
    </row>
    <row r="26" spans="1:9" ht="22.5" customHeight="1">
      <c r="A26" s="347" t="s">
        <v>48</v>
      </c>
      <c r="B26" s="317">
        <v>636</v>
      </c>
      <c r="C26" s="317">
        <v>1729.9</v>
      </c>
      <c r="D26" s="317">
        <v>13700</v>
      </c>
      <c r="E26" s="317">
        <v>35072</v>
      </c>
      <c r="F26" s="345">
        <v>131.7</v>
      </c>
      <c r="G26" s="317">
        <v>2.8</v>
      </c>
      <c r="H26" s="346">
        <f t="shared" si="4"/>
        <v>134.5</v>
      </c>
      <c r="I26" s="340">
        <f t="shared" si="1"/>
        <v>9.817518248175183</v>
      </c>
    </row>
    <row r="27" spans="1:9" ht="22.5" customHeight="1">
      <c r="A27" s="357" t="s">
        <v>49</v>
      </c>
      <c r="B27" s="348">
        <f aca="true" t="shared" si="5" ref="B27:H27">B9+B14+B15+B16+B17+B21+B22+B23+B24+B25+B26</f>
        <v>295173.9</v>
      </c>
      <c r="C27" s="348">
        <f t="shared" si="5"/>
        <v>1021004.5</v>
      </c>
      <c r="D27" s="348">
        <f t="shared" si="5"/>
        <v>2016425.2000000002</v>
      </c>
      <c r="E27" s="348">
        <f t="shared" si="5"/>
        <v>5672541.6</v>
      </c>
      <c r="F27" s="348">
        <f t="shared" si="5"/>
        <v>38285.7</v>
      </c>
      <c r="G27" s="348">
        <f t="shared" si="5"/>
        <v>10865.8</v>
      </c>
      <c r="H27" s="348">
        <f t="shared" si="5"/>
        <v>49151.49999999999</v>
      </c>
      <c r="I27" s="362">
        <f>(H27/D27)*1000</f>
        <v>24.37556324925913</v>
      </c>
    </row>
    <row r="28" spans="1:8" ht="15">
      <c r="A28" s="108" t="s">
        <v>164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mergeCells count="13">
    <mergeCell ref="D6:E6"/>
    <mergeCell ref="F5:H5"/>
    <mergeCell ref="F6:H6"/>
    <mergeCell ref="I7:I8"/>
    <mergeCell ref="F7:F8"/>
    <mergeCell ref="G7:G8"/>
    <mergeCell ref="H7:H8"/>
    <mergeCell ref="B5:E5"/>
    <mergeCell ref="B6:C6"/>
    <mergeCell ref="A1:I1"/>
    <mergeCell ref="A2:I2"/>
    <mergeCell ref="A3:I3"/>
    <mergeCell ref="A4:I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17:E17 B9:E9 H9:I26 F9:G9 F17:G1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 topLeftCell="A2">
      <selection activeCell="A3" sqref="A3:I3"/>
    </sheetView>
  </sheetViews>
  <sheetFormatPr defaultColWidth="9.140625" defaultRowHeight="12.75"/>
  <cols>
    <col min="1" max="1" width="28.140625" style="273" customWidth="1"/>
    <col min="2" max="4" width="11.28125" style="273" customWidth="1"/>
    <col min="5" max="5" width="12.00390625" style="273" customWidth="1"/>
    <col min="6" max="6" width="10.28125" style="273" customWidth="1"/>
    <col min="7" max="7" width="9.421875" style="273" customWidth="1"/>
    <col min="8" max="8" width="10.28125" style="273" customWidth="1"/>
    <col min="9" max="9" width="16.421875" style="273" customWidth="1"/>
    <col min="10" max="16384" width="9.140625" style="2" customWidth="1"/>
  </cols>
  <sheetData>
    <row r="1" spans="1:9" ht="18" customHeight="1">
      <c r="A1" s="542" t="s">
        <v>42</v>
      </c>
      <c r="B1" s="542"/>
      <c r="C1" s="542"/>
      <c r="D1" s="542"/>
      <c r="E1" s="542"/>
      <c r="F1" s="542"/>
      <c r="G1" s="542"/>
      <c r="H1" s="542"/>
      <c r="I1" s="542"/>
    </row>
    <row r="2" spans="1:9" ht="18" customHeight="1">
      <c r="A2" s="543" t="s">
        <v>227</v>
      </c>
      <c r="B2" s="543"/>
      <c r="C2" s="543"/>
      <c r="D2" s="543"/>
      <c r="E2" s="543"/>
      <c r="F2" s="543"/>
      <c r="G2" s="543"/>
      <c r="H2" s="543"/>
      <c r="I2" s="543"/>
    </row>
    <row r="3" spans="1:9" ht="18" customHeight="1">
      <c r="A3" s="544" t="s">
        <v>167</v>
      </c>
      <c r="B3" s="544"/>
      <c r="C3" s="544"/>
      <c r="D3" s="544"/>
      <c r="E3" s="544"/>
      <c r="F3" s="544"/>
      <c r="G3" s="544"/>
      <c r="H3" s="544"/>
      <c r="I3" s="544"/>
    </row>
    <row r="4" spans="1:9" ht="17.25" customHeight="1">
      <c r="A4" s="545">
        <v>41244</v>
      </c>
      <c r="B4" s="545"/>
      <c r="C4" s="545"/>
      <c r="D4" s="545"/>
      <c r="E4" s="545"/>
      <c r="F4" s="545"/>
      <c r="G4" s="545"/>
      <c r="H4" s="545"/>
      <c r="I4" s="545"/>
    </row>
    <row r="5" spans="1:9" ht="19.5" customHeight="1">
      <c r="A5" s="358"/>
      <c r="B5" s="546" t="s">
        <v>51</v>
      </c>
      <c r="C5" s="546"/>
      <c r="D5" s="546"/>
      <c r="E5" s="546"/>
      <c r="F5" s="547" t="s">
        <v>52</v>
      </c>
      <c r="G5" s="548"/>
      <c r="H5" s="549"/>
      <c r="I5" s="338"/>
    </row>
    <row r="6" spans="1:9" ht="19.5" customHeight="1">
      <c r="A6" s="355" t="s">
        <v>172</v>
      </c>
      <c r="B6" s="546" t="s">
        <v>200</v>
      </c>
      <c r="C6" s="546"/>
      <c r="D6" s="546" t="s">
        <v>53</v>
      </c>
      <c r="E6" s="546"/>
      <c r="F6" s="550" t="s">
        <v>173</v>
      </c>
      <c r="G6" s="551"/>
      <c r="H6" s="552"/>
      <c r="I6" s="356" t="s">
        <v>127</v>
      </c>
    </row>
    <row r="7" spans="1:9" ht="19.5" customHeight="1">
      <c r="A7" s="355" t="s">
        <v>97</v>
      </c>
      <c r="B7" s="295" t="s">
        <v>54</v>
      </c>
      <c r="C7" s="295" t="s">
        <v>55</v>
      </c>
      <c r="D7" s="295" t="s">
        <v>54</v>
      </c>
      <c r="E7" s="295" t="s">
        <v>55</v>
      </c>
      <c r="F7" s="555" t="s">
        <v>23</v>
      </c>
      <c r="G7" s="555" t="s">
        <v>26</v>
      </c>
      <c r="H7" s="555" t="s">
        <v>2</v>
      </c>
      <c r="I7" s="553" t="s">
        <v>56</v>
      </c>
    </row>
    <row r="8" spans="1:9" ht="19.5" customHeight="1">
      <c r="A8" s="359"/>
      <c r="B8" s="295" t="s">
        <v>57</v>
      </c>
      <c r="C8" s="316" t="s">
        <v>50</v>
      </c>
      <c r="D8" s="295" t="s">
        <v>57</v>
      </c>
      <c r="E8" s="316" t="s">
        <v>50</v>
      </c>
      <c r="F8" s="556"/>
      <c r="G8" s="556"/>
      <c r="H8" s="556"/>
      <c r="I8" s="554"/>
    </row>
    <row r="9" spans="1:9" ht="22.5" customHeight="1">
      <c r="A9" s="339" t="s">
        <v>43</v>
      </c>
      <c r="B9" s="317">
        <f aca="true" t="shared" si="0" ref="B9:H9">SUM(B10:B13)</f>
        <v>185555</v>
      </c>
      <c r="C9" s="317">
        <f t="shared" si="0"/>
        <v>662268</v>
      </c>
      <c r="D9" s="317">
        <f t="shared" si="0"/>
        <v>1028425</v>
      </c>
      <c r="E9" s="317">
        <f t="shared" si="0"/>
        <v>3169506</v>
      </c>
      <c r="F9" s="317">
        <f t="shared" si="0"/>
        <v>26644</v>
      </c>
      <c r="G9" s="317">
        <f t="shared" si="0"/>
        <v>300</v>
      </c>
      <c r="H9" s="317">
        <f t="shared" si="0"/>
        <v>26944</v>
      </c>
      <c r="I9" s="340">
        <f aca="true" t="shared" si="1" ref="I9:I27">(H9/D9)*1000</f>
        <v>26.199285314923305</v>
      </c>
    </row>
    <row r="10" spans="1:9" ht="22.5" customHeight="1">
      <c r="A10" s="360" t="s">
        <v>239</v>
      </c>
      <c r="B10" s="318">
        <v>102700</v>
      </c>
      <c r="C10" s="319">
        <v>359449</v>
      </c>
      <c r="D10" s="320">
        <v>518082</v>
      </c>
      <c r="E10" s="341">
        <v>1554246</v>
      </c>
      <c r="F10" s="271">
        <v>13792</v>
      </c>
      <c r="G10" s="271"/>
      <c r="H10" s="342">
        <f aca="true" t="shared" si="2" ref="H10:H16">F10+G10</f>
        <v>13792</v>
      </c>
      <c r="I10" s="343">
        <f t="shared" si="1"/>
        <v>26.621268447851882</v>
      </c>
    </row>
    <row r="11" spans="1:9" ht="27.75" customHeight="1">
      <c r="A11" s="361" t="s">
        <v>240</v>
      </c>
      <c r="B11" s="318">
        <v>25650</v>
      </c>
      <c r="C11" s="319">
        <v>102600</v>
      </c>
      <c r="D11" s="320">
        <v>168463</v>
      </c>
      <c r="E11" s="344">
        <v>589620</v>
      </c>
      <c r="F11" s="271">
        <v>6231</v>
      </c>
      <c r="G11" s="271"/>
      <c r="H11" s="342">
        <f t="shared" si="2"/>
        <v>6231</v>
      </c>
      <c r="I11" s="343">
        <f t="shared" si="1"/>
        <v>36.98735033805642</v>
      </c>
    </row>
    <row r="12" spans="1:9" ht="27.75" customHeight="1">
      <c r="A12" s="361" t="s">
        <v>276</v>
      </c>
      <c r="B12" s="318">
        <v>43680</v>
      </c>
      <c r="C12" s="319">
        <v>152881</v>
      </c>
      <c r="D12" s="320">
        <v>304013</v>
      </c>
      <c r="E12" s="344">
        <v>912039</v>
      </c>
      <c r="F12" s="271">
        <v>5942</v>
      </c>
      <c r="G12" s="271">
        <v>195</v>
      </c>
      <c r="H12" s="342">
        <f t="shared" si="2"/>
        <v>6137</v>
      </c>
      <c r="I12" s="343">
        <f t="shared" si="1"/>
        <v>20.186636755665052</v>
      </c>
    </row>
    <row r="13" spans="1:9" ht="30.75" customHeight="1">
      <c r="A13" s="361" t="s">
        <v>241</v>
      </c>
      <c r="B13" s="318">
        <v>13525</v>
      </c>
      <c r="C13" s="319">
        <v>47338</v>
      </c>
      <c r="D13" s="321">
        <v>37867</v>
      </c>
      <c r="E13" s="344">
        <v>113601</v>
      </c>
      <c r="F13" s="271">
        <v>679</v>
      </c>
      <c r="G13" s="272">
        <v>105</v>
      </c>
      <c r="H13" s="342">
        <f t="shared" si="2"/>
        <v>784</v>
      </c>
      <c r="I13" s="343">
        <f t="shared" si="1"/>
        <v>20.704043098212164</v>
      </c>
    </row>
    <row r="14" spans="1:9" ht="22.5" customHeight="1">
      <c r="A14" s="339" t="s">
        <v>44</v>
      </c>
      <c r="B14" s="322">
        <v>41358</v>
      </c>
      <c r="C14" s="322">
        <v>137787</v>
      </c>
      <c r="D14" s="323">
        <v>450128</v>
      </c>
      <c r="E14" s="323">
        <v>1205211</v>
      </c>
      <c r="F14" s="345">
        <v>2789</v>
      </c>
      <c r="G14" s="317">
        <v>9713</v>
      </c>
      <c r="H14" s="346">
        <f t="shared" si="2"/>
        <v>12502</v>
      </c>
      <c r="I14" s="340">
        <f t="shared" si="1"/>
        <v>27.774321970639463</v>
      </c>
    </row>
    <row r="15" spans="1:9" ht="22.5" customHeight="1">
      <c r="A15" s="339" t="s">
        <v>45</v>
      </c>
      <c r="B15" s="322">
        <v>17525</v>
      </c>
      <c r="C15" s="322">
        <v>60097</v>
      </c>
      <c r="D15" s="323">
        <v>175137</v>
      </c>
      <c r="E15" s="323">
        <v>475873</v>
      </c>
      <c r="F15" s="345">
        <v>5356.6</v>
      </c>
      <c r="G15" s="317">
        <v>0</v>
      </c>
      <c r="H15" s="346">
        <f t="shared" si="2"/>
        <v>5356.6</v>
      </c>
      <c r="I15" s="340">
        <f t="shared" si="1"/>
        <v>30.585199015627765</v>
      </c>
    </row>
    <row r="16" spans="1:9" ht="22.5" customHeight="1">
      <c r="A16" s="339" t="s">
        <v>72</v>
      </c>
      <c r="B16" s="322">
        <v>16873</v>
      </c>
      <c r="C16" s="322">
        <v>64800</v>
      </c>
      <c r="D16" s="323">
        <v>67177</v>
      </c>
      <c r="E16" s="323">
        <v>215200</v>
      </c>
      <c r="F16" s="345">
        <v>1580</v>
      </c>
      <c r="G16" s="317">
        <v>0</v>
      </c>
      <c r="H16" s="346">
        <f t="shared" si="2"/>
        <v>1580</v>
      </c>
      <c r="I16" s="340">
        <f t="shared" si="1"/>
        <v>23.519954746416186</v>
      </c>
    </row>
    <row r="17" spans="1:9" ht="22.5" customHeight="1">
      <c r="A17" s="339" t="s">
        <v>46</v>
      </c>
      <c r="B17" s="322">
        <f aca="true" t="shared" si="3" ref="B17:H17">SUM(B18:B20)</f>
        <v>8330</v>
      </c>
      <c r="C17" s="322">
        <f t="shared" si="3"/>
        <v>26743</v>
      </c>
      <c r="D17" s="322">
        <f t="shared" si="3"/>
        <v>138213</v>
      </c>
      <c r="E17" s="322">
        <f t="shared" si="3"/>
        <v>320014</v>
      </c>
      <c r="F17" s="322">
        <f t="shared" si="3"/>
        <v>1336.5</v>
      </c>
      <c r="G17" s="322">
        <f t="shared" si="3"/>
        <v>813.1</v>
      </c>
      <c r="H17" s="322">
        <f t="shared" si="3"/>
        <v>2149.6</v>
      </c>
      <c r="I17" s="340">
        <f t="shared" si="1"/>
        <v>15.552806175974764</v>
      </c>
    </row>
    <row r="18" spans="1:9" ht="22.5" customHeight="1">
      <c r="A18" s="360" t="s">
        <v>228</v>
      </c>
      <c r="B18" s="318">
        <v>2183</v>
      </c>
      <c r="C18" s="318">
        <v>10120</v>
      </c>
      <c r="D18" s="318">
        <v>12918</v>
      </c>
      <c r="E18" s="321">
        <v>71046</v>
      </c>
      <c r="F18" s="272">
        <v>527.7</v>
      </c>
      <c r="G18" s="271">
        <v>0</v>
      </c>
      <c r="H18" s="351">
        <f>SUM(F18:G18)</f>
        <v>527.7</v>
      </c>
      <c r="I18" s="343">
        <f t="shared" si="1"/>
        <v>40.84997677659081</v>
      </c>
    </row>
    <row r="19" spans="1:9" ht="22.5" customHeight="1">
      <c r="A19" s="361" t="s">
        <v>229</v>
      </c>
      <c r="B19" s="318">
        <v>2265</v>
      </c>
      <c r="C19" s="318">
        <v>7757</v>
      </c>
      <c r="D19" s="318">
        <v>100861</v>
      </c>
      <c r="E19" s="321">
        <v>196679</v>
      </c>
      <c r="F19" s="272">
        <v>808.8</v>
      </c>
      <c r="G19" s="271">
        <v>0</v>
      </c>
      <c r="H19" s="351">
        <f>SUM(F19:G19)</f>
        <v>808.8</v>
      </c>
      <c r="I19" s="343">
        <f t="shared" si="1"/>
        <v>8.018956782106066</v>
      </c>
    </row>
    <row r="20" spans="1:9" ht="22.5" customHeight="1">
      <c r="A20" s="361" t="s">
        <v>230</v>
      </c>
      <c r="B20" s="318">
        <v>3882</v>
      </c>
      <c r="C20" s="318">
        <v>8866</v>
      </c>
      <c r="D20" s="318">
        <v>24434</v>
      </c>
      <c r="E20" s="321">
        <v>52289</v>
      </c>
      <c r="F20" s="272">
        <v>0</v>
      </c>
      <c r="G20" s="271">
        <v>813.1</v>
      </c>
      <c r="H20" s="351">
        <f>SUM(F20:G20)</f>
        <v>813.1</v>
      </c>
      <c r="I20" s="343">
        <f t="shared" si="1"/>
        <v>33.27740034378325</v>
      </c>
    </row>
    <row r="21" spans="1:9" ht="22.5" customHeight="1">
      <c r="A21" s="339" t="s">
        <v>47</v>
      </c>
      <c r="B21" s="322">
        <v>5714</v>
      </c>
      <c r="C21" s="322">
        <v>8834</v>
      </c>
      <c r="D21" s="323">
        <v>125667</v>
      </c>
      <c r="E21" s="323">
        <v>194281</v>
      </c>
      <c r="F21" s="345">
        <v>0</v>
      </c>
      <c r="G21" s="317">
        <v>1367</v>
      </c>
      <c r="H21" s="346">
        <f aca="true" t="shared" si="4" ref="H21:H26">F21+G21</f>
        <v>1367</v>
      </c>
      <c r="I21" s="340">
        <f t="shared" si="1"/>
        <v>10.877955230887983</v>
      </c>
    </row>
    <row r="22" spans="1:9" ht="22.5" customHeight="1">
      <c r="A22" s="339" t="s">
        <v>73</v>
      </c>
      <c r="B22" s="317">
        <v>1747</v>
      </c>
      <c r="C22" s="317">
        <v>4050</v>
      </c>
      <c r="D22" s="317">
        <v>21028</v>
      </c>
      <c r="E22" s="317">
        <v>48262</v>
      </c>
      <c r="F22" s="345">
        <v>2.5</v>
      </c>
      <c r="G22" s="317">
        <v>121.6</v>
      </c>
      <c r="H22" s="346">
        <f t="shared" si="4"/>
        <v>124.1</v>
      </c>
      <c r="I22" s="340">
        <f t="shared" si="1"/>
        <v>5.901654936275442</v>
      </c>
    </row>
    <row r="23" spans="1:9" ht="22.5" customHeight="1">
      <c r="A23" s="339" t="s">
        <v>115</v>
      </c>
      <c r="B23" s="317">
        <v>1707</v>
      </c>
      <c r="C23" s="317">
        <v>7182</v>
      </c>
      <c r="D23" s="317">
        <v>6320</v>
      </c>
      <c r="E23" s="317">
        <v>35558</v>
      </c>
      <c r="F23" s="345">
        <v>247.4</v>
      </c>
      <c r="G23" s="317">
        <v>0</v>
      </c>
      <c r="H23" s="346">
        <f t="shared" si="4"/>
        <v>247.4</v>
      </c>
      <c r="I23" s="340">
        <f t="shared" si="1"/>
        <v>39.14556962025317</v>
      </c>
    </row>
    <row r="24" spans="1:9" ht="22.5" customHeight="1">
      <c r="A24" s="339" t="s">
        <v>74</v>
      </c>
      <c r="B24" s="317">
        <v>140</v>
      </c>
      <c r="C24" s="317">
        <v>312</v>
      </c>
      <c r="D24" s="317">
        <v>10249</v>
      </c>
      <c r="E24" s="317">
        <v>22855</v>
      </c>
      <c r="F24" s="345">
        <v>0</v>
      </c>
      <c r="G24" s="317">
        <v>167</v>
      </c>
      <c r="H24" s="346">
        <f t="shared" si="4"/>
        <v>167</v>
      </c>
      <c r="I24" s="340">
        <f t="shared" si="1"/>
        <v>16.294272611962143</v>
      </c>
    </row>
    <row r="25" spans="1:9" ht="22.5" customHeight="1">
      <c r="A25" s="339" t="s">
        <v>75</v>
      </c>
      <c r="B25" s="317">
        <v>7</v>
      </c>
      <c r="C25" s="317">
        <v>15</v>
      </c>
      <c r="D25" s="317">
        <v>13225</v>
      </c>
      <c r="E25" s="317">
        <v>27773</v>
      </c>
      <c r="F25" s="345">
        <v>262.2</v>
      </c>
      <c r="G25" s="317">
        <v>0</v>
      </c>
      <c r="H25" s="346">
        <f t="shared" si="4"/>
        <v>262.2</v>
      </c>
      <c r="I25" s="340">
        <f t="shared" si="1"/>
        <v>19.82608695652174</v>
      </c>
    </row>
    <row r="26" spans="1:9" ht="22.5" customHeight="1">
      <c r="A26" s="347" t="s">
        <v>48</v>
      </c>
      <c r="B26" s="317">
        <v>663</v>
      </c>
      <c r="C26" s="317">
        <v>1459</v>
      </c>
      <c r="D26" s="317">
        <v>14169</v>
      </c>
      <c r="E26" s="317">
        <v>31172</v>
      </c>
      <c r="F26" s="345">
        <v>125.8</v>
      </c>
      <c r="G26" s="317">
        <v>0.4</v>
      </c>
      <c r="H26" s="346">
        <f t="shared" si="4"/>
        <v>126.2</v>
      </c>
      <c r="I26" s="340">
        <f t="shared" si="1"/>
        <v>8.906768296986378</v>
      </c>
    </row>
    <row r="27" spans="1:9" ht="22.5" customHeight="1">
      <c r="A27" s="357" t="s">
        <v>49</v>
      </c>
      <c r="B27" s="348">
        <f aca="true" t="shared" si="5" ref="B27:H27">B9+B14+B15+B16+B17+B21+B22+B23+B24+B25+B26</f>
        <v>279619</v>
      </c>
      <c r="C27" s="348">
        <f t="shared" si="5"/>
        <v>973547</v>
      </c>
      <c r="D27" s="348">
        <f t="shared" si="5"/>
        <v>2049738</v>
      </c>
      <c r="E27" s="348">
        <f t="shared" si="5"/>
        <v>5745705</v>
      </c>
      <c r="F27" s="348">
        <f t="shared" si="5"/>
        <v>38344</v>
      </c>
      <c r="G27" s="348">
        <f t="shared" si="5"/>
        <v>12482.1</v>
      </c>
      <c r="H27" s="348">
        <f t="shared" si="5"/>
        <v>50826.09999999999</v>
      </c>
      <c r="I27" s="362">
        <f t="shared" si="1"/>
        <v>24.796388611617676</v>
      </c>
    </row>
    <row r="28" spans="1:8" ht="15">
      <c r="A28" s="108" t="s">
        <v>164</v>
      </c>
      <c r="H28" s="274"/>
    </row>
    <row r="29" spans="1:9" ht="15.75">
      <c r="A29"/>
      <c r="B29"/>
      <c r="C29"/>
      <c r="D29"/>
      <c r="E29"/>
      <c r="F29"/>
      <c r="G29"/>
      <c r="H29"/>
      <c r="I29" s="231"/>
    </row>
    <row r="30" spans="1:9" ht="15">
      <c r="A30"/>
      <c r="B30"/>
      <c r="C30"/>
      <c r="D30"/>
      <c r="E30"/>
      <c r="F30"/>
      <c r="G30"/>
      <c r="H30"/>
      <c r="I30" s="117"/>
    </row>
    <row r="31" spans="1:9" ht="15.75">
      <c r="A31"/>
      <c r="B31"/>
      <c r="C31"/>
      <c r="D31"/>
      <c r="E31"/>
      <c r="F31"/>
      <c r="G31"/>
      <c r="H31"/>
      <c r="I31" s="232"/>
    </row>
    <row r="32" spans="1:9" ht="15.75">
      <c r="A32" s="117"/>
      <c r="B32" s="232"/>
      <c r="C32" s="232"/>
      <c r="D32" s="233"/>
      <c r="E32" s="232"/>
      <c r="F32" s="117"/>
      <c r="G32" s="117"/>
      <c r="H32" s="117"/>
      <c r="I32" s="117"/>
    </row>
    <row r="33" spans="1:9" ht="15.75">
      <c r="A33" s="117"/>
      <c r="B33" s="232"/>
      <c r="C33" s="232"/>
      <c r="D33" s="233"/>
      <c r="E33" s="232"/>
      <c r="F33" s="117"/>
      <c r="G33" s="117"/>
      <c r="H33" s="117"/>
      <c r="I33" s="117"/>
    </row>
    <row r="34" spans="1:9" ht="15.75">
      <c r="A34" s="117"/>
      <c r="B34" s="232"/>
      <c r="C34" s="232"/>
      <c r="D34" s="233"/>
      <c r="E34" s="232"/>
      <c r="F34" s="275"/>
      <c r="G34" s="117"/>
      <c r="H34" s="117"/>
      <c r="I34" s="117"/>
    </row>
    <row r="35" spans="1:9" ht="15">
      <c r="A35" s="117"/>
      <c r="B35" s="117"/>
      <c r="C35" s="117"/>
      <c r="D35" s="117"/>
      <c r="E35" s="117"/>
      <c r="F35" s="275"/>
      <c r="G35" s="117"/>
      <c r="H35" s="117"/>
      <c r="I35" s="117"/>
    </row>
    <row r="36" spans="1:9" ht="15">
      <c r="A36" s="117"/>
      <c r="B36" s="117"/>
      <c r="C36" s="117"/>
      <c r="D36" s="276"/>
      <c r="E36" s="276"/>
      <c r="F36" s="275"/>
      <c r="G36" s="117"/>
      <c r="H36" s="117"/>
      <c r="I36" s="117"/>
    </row>
    <row r="37" spans="1:9" ht="15">
      <c r="A37" s="117"/>
      <c r="B37" s="117"/>
      <c r="C37" s="117"/>
      <c r="D37" s="276"/>
      <c r="E37" s="276"/>
      <c r="F37" s="275"/>
      <c r="G37" s="117"/>
      <c r="H37" s="117"/>
      <c r="I37" s="117"/>
    </row>
    <row r="38" spans="1:9" ht="15">
      <c r="A38" s="117"/>
      <c r="B38" s="117"/>
      <c r="C38" s="117"/>
      <c r="D38" s="117"/>
      <c r="E38" s="117"/>
      <c r="F38" s="117"/>
      <c r="G38" s="117"/>
      <c r="H38" s="117"/>
      <c r="I38" s="117"/>
    </row>
    <row r="40" spans="4:6" ht="15">
      <c r="D40" s="277"/>
      <c r="E40" s="277"/>
      <c r="F40" s="278"/>
    </row>
    <row r="41" spans="4:6" ht="15">
      <c r="D41" s="277"/>
      <c r="E41" s="277"/>
      <c r="F41" s="278"/>
    </row>
    <row r="42" spans="4:6" ht="15.75">
      <c r="D42" s="280"/>
      <c r="E42" s="281"/>
      <c r="F42" s="278"/>
    </row>
    <row r="43" spans="4:6" ht="15">
      <c r="D43" s="277"/>
      <c r="E43" s="277"/>
      <c r="F43" s="278"/>
    </row>
    <row r="44" spans="4:6" ht="15">
      <c r="D44" s="279"/>
      <c r="E44" s="279"/>
      <c r="F44" s="278"/>
    </row>
    <row r="45" spans="4:6" ht="15">
      <c r="D45" s="277"/>
      <c r="E45" s="277"/>
      <c r="F45" s="277"/>
    </row>
    <row r="46" spans="4:6" ht="15">
      <c r="D46" s="279"/>
      <c r="E46" s="279"/>
      <c r="F46" s="279"/>
    </row>
    <row r="47" spans="4:6" ht="15.75">
      <c r="D47" s="281"/>
      <c r="E47" s="281"/>
      <c r="F47" s="279"/>
    </row>
    <row r="48" spans="4:6" ht="15">
      <c r="D48" s="279"/>
      <c r="E48" s="282"/>
      <c r="F48" s="279"/>
    </row>
    <row r="49" spans="4:6" ht="15">
      <c r="D49" s="279"/>
      <c r="E49" s="279"/>
      <c r="F49" s="279"/>
    </row>
    <row r="50" spans="4:6" ht="15">
      <c r="D50" s="279"/>
      <c r="E50" s="279"/>
      <c r="F50" s="279"/>
    </row>
    <row r="51" spans="4:6" ht="15">
      <c r="D51" s="279"/>
      <c r="E51" s="279"/>
      <c r="F51" s="279"/>
    </row>
  </sheetData>
  <mergeCells count="13">
    <mergeCell ref="A1:I1"/>
    <mergeCell ref="A2:I2"/>
    <mergeCell ref="A3:I3"/>
    <mergeCell ref="A4:I4"/>
    <mergeCell ref="D6:E6"/>
    <mergeCell ref="F5:H5"/>
    <mergeCell ref="F6:H6"/>
    <mergeCell ref="I7:I8"/>
    <mergeCell ref="F7:F8"/>
    <mergeCell ref="G7:G8"/>
    <mergeCell ref="H7:H8"/>
    <mergeCell ref="B5:E5"/>
    <mergeCell ref="B6:C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ignoredErrors>
    <ignoredError sqref="B9:I2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L76"/>
  <sheetViews>
    <sheetView zoomScale="95" zoomScaleNormal="95" zoomScaleSheetLayoutView="90" workbookViewId="0" topLeftCell="A1">
      <selection activeCell="A1" sqref="A1:K1"/>
    </sheetView>
  </sheetViews>
  <sheetFormatPr defaultColWidth="9.140625" defaultRowHeight="12.75"/>
  <cols>
    <col min="1" max="1" width="17.28125" style="32" customWidth="1"/>
    <col min="2" max="2" width="12.140625" style="32" customWidth="1"/>
    <col min="3" max="3" width="9.28125" style="32" customWidth="1"/>
    <col min="4" max="4" width="12.140625" style="32" customWidth="1"/>
    <col min="5" max="5" width="9.7109375" style="32" customWidth="1"/>
    <col min="6" max="6" width="12.140625" style="32" customWidth="1"/>
    <col min="7" max="7" width="9.57421875" style="32" customWidth="1"/>
    <col min="8" max="8" width="12.140625" style="32" customWidth="1"/>
    <col min="9" max="9" width="9.57421875" style="32" customWidth="1"/>
    <col min="10" max="10" width="12.140625" style="32" customWidth="1"/>
    <col min="11" max="11" width="10.57421875" style="32" customWidth="1"/>
    <col min="12" max="12" width="15.140625" style="32" bestFit="1" customWidth="1"/>
    <col min="13" max="16384" width="9.140625" style="32" customWidth="1"/>
  </cols>
  <sheetData>
    <row r="1" spans="1:11" ht="15" customHeight="1">
      <c r="A1" s="559" t="s">
        <v>337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15" customHeight="1">
      <c r="A2" s="560" t="s">
        <v>122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15" customHeight="1">
      <c r="A3" s="565" t="s">
        <v>123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</row>
    <row r="4" spans="1:11" ht="15" customHeight="1">
      <c r="A4" s="561" t="s">
        <v>86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</row>
    <row r="5" spans="1:11" ht="12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20.25" customHeight="1">
      <c r="A6" s="562" t="s">
        <v>334</v>
      </c>
      <c r="B6" s="563"/>
      <c r="C6" s="563"/>
      <c r="D6" s="563"/>
      <c r="E6" s="563"/>
      <c r="F6" s="563"/>
      <c r="G6" s="563"/>
      <c r="H6" s="563"/>
      <c r="I6" s="563"/>
      <c r="J6" s="563"/>
      <c r="K6" s="564"/>
    </row>
    <row r="7" spans="1:11" ht="15" customHeight="1">
      <c r="A7" s="546" t="s">
        <v>87</v>
      </c>
      <c r="B7" s="557" t="s">
        <v>309</v>
      </c>
      <c r="C7" s="557"/>
      <c r="D7" s="557" t="s">
        <v>281</v>
      </c>
      <c r="E7" s="557"/>
      <c r="F7" s="375" t="s">
        <v>226</v>
      </c>
      <c r="G7" s="375"/>
      <c r="H7" s="375" t="s">
        <v>218</v>
      </c>
      <c r="I7" s="375"/>
      <c r="J7" s="376" t="s">
        <v>209</v>
      </c>
      <c r="K7" s="377"/>
    </row>
    <row r="8" spans="1:11" ht="15" customHeight="1">
      <c r="A8" s="546"/>
      <c r="B8" s="114" t="s">
        <v>124</v>
      </c>
      <c r="C8" s="143" t="s">
        <v>88</v>
      </c>
      <c r="D8" s="114" t="s">
        <v>124</v>
      </c>
      <c r="E8" s="143" t="s">
        <v>88</v>
      </c>
      <c r="F8" s="114" t="s">
        <v>124</v>
      </c>
      <c r="G8" s="143" t="s">
        <v>88</v>
      </c>
      <c r="H8" s="114" t="s">
        <v>124</v>
      </c>
      <c r="I8" s="143" t="s">
        <v>88</v>
      </c>
      <c r="J8" s="114" t="s">
        <v>124</v>
      </c>
      <c r="K8" s="143" t="s">
        <v>88</v>
      </c>
    </row>
    <row r="9" spans="1:12" ht="15">
      <c r="A9" s="122" t="s">
        <v>98</v>
      </c>
      <c r="B9" s="123">
        <v>49152</v>
      </c>
      <c r="C9" s="127">
        <f>(B9/B26)*100</f>
        <v>33.85263853878259</v>
      </c>
      <c r="D9" s="123">
        <v>50826</v>
      </c>
      <c r="E9" s="127">
        <f>(D9/D26)*100</f>
        <v>34.97450506802089</v>
      </c>
      <c r="F9" s="123">
        <v>43484</v>
      </c>
      <c r="G9" s="127">
        <f>(F9/F26)*100</f>
        <v>32.890845416657214</v>
      </c>
      <c r="H9" s="123">
        <v>48095</v>
      </c>
      <c r="I9" s="127">
        <f>(H9/H26)*100</f>
        <v>36.14398977943111</v>
      </c>
      <c r="J9" s="123">
        <v>39470</v>
      </c>
      <c r="K9" s="127">
        <f>(J9/J26)*100</f>
        <v>32.08343155344935</v>
      </c>
      <c r="L9" s="50"/>
    </row>
    <row r="10" spans="1:11" ht="15">
      <c r="A10" s="129" t="s">
        <v>198</v>
      </c>
      <c r="B10" s="126">
        <v>27500</v>
      </c>
      <c r="C10" s="127">
        <f>(B10/B26)*100</f>
        <v>18.9401765913192</v>
      </c>
      <c r="D10" s="126">
        <v>22030</v>
      </c>
      <c r="E10" s="127">
        <f>(D10/D26)*100</f>
        <v>15.15933472334042</v>
      </c>
      <c r="F10" s="126">
        <v>22289</v>
      </c>
      <c r="G10" s="127">
        <f>(F10/F26)*100</f>
        <v>16.85916782016081</v>
      </c>
      <c r="H10" s="126">
        <v>19467</v>
      </c>
      <c r="I10" s="127">
        <f>(H10/H26)*100</f>
        <v>14.629692255664525</v>
      </c>
      <c r="J10" s="126">
        <v>17825</v>
      </c>
      <c r="K10" s="127">
        <f>(J10/J26)*100</f>
        <v>14.48916056347187</v>
      </c>
    </row>
    <row r="11" spans="1:11" ht="15">
      <c r="A11" s="125" t="s">
        <v>90</v>
      </c>
      <c r="B11" s="126">
        <v>11667</v>
      </c>
      <c r="C11" s="127">
        <f>(B11/B26)*100</f>
        <v>8.03545601057895</v>
      </c>
      <c r="D11" s="126">
        <v>13048</v>
      </c>
      <c r="E11" s="127">
        <f>(D11/D26)*100</f>
        <v>8.978620039498221</v>
      </c>
      <c r="F11" s="126">
        <v>7288</v>
      </c>
      <c r="G11" s="127">
        <f>(F11/F26)*100</f>
        <v>5.512567413223203</v>
      </c>
      <c r="H11" s="126">
        <v>9129</v>
      </c>
      <c r="I11" s="127">
        <f>(H11/H26)*100</f>
        <v>6.860556870702289</v>
      </c>
      <c r="J11" s="126">
        <v>11380</v>
      </c>
      <c r="K11" s="127">
        <f>(J11/J26)*100</f>
        <v>9.25030278890939</v>
      </c>
    </row>
    <row r="12" spans="1:11" ht="15">
      <c r="A12" s="125" t="s">
        <v>89</v>
      </c>
      <c r="B12" s="126">
        <v>11000</v>
      </c>
      <c r="C12" s="127">
        <f>(B12/B26)*100</f>
        <v>7.576070636527681</v>
      </c>
      <c r="D12" s="126">
        <v>10415</v>
      </c>
      <c r="E12" s="127">
        <f>(D12/D26)*100</f>
        <v>7.1667939692959814</v>
      </c>
      <c r="F12" s="126">
        <v>7652</v>
      </c>
      <c r="G12" s="127">
        <f>(F12/F26)*100</f>
        <v>5.787893228043901</v>
      </c>
      <c r="H12" s="126">
        <v>8523</v>
      </c>
      <c r="I12" s="127">
        <f>(H12/H26)*100</f>
        <v>6.405140344944201</v>
      </c>
      <c r="J12" s="126">
        <v>8098</v>
      </c>
      <c r="K12" s="127">
        <f>(J12/J26)*100</f>
        <v>6.582508961738862</v>
      </c>
    </row>
    <row r="13" spans="1:11" ht="15">
      <c r="A13" s="125" t="s">
        <v>100</v>
      </c>
      <c r="B13" s="126">
        <v>6600</v>
      </c>
      <c r="C13" s="127">
        <f>(B13/B26)*100</f>
        <v>4.545642381916608</v>
      </c>
      <c r="D13" s="126">
        <v>6233</v>
      </c>
      <c r="E13" s="127">
        <f>(D13/D26)*100</f>
        <v>4.28906642444761</v>
      </c>
      <c r="F13" s="126">
        <v>6798</v>
      </c>
      <c r="G13" s="127">
        <f>(F13/F26)*100</f>
        <v>5.141936508656879</v>
      </c>
      <c r="H13" s="126">
        <v>7500</v>
      </c>
      <c r="I13" s="127">
        <f>(H13/H26)*100</f>
        <v>5.636343140570397</v>
      </c>
      <c r="J13" s="126">
        <v>6931</v>
      </c>
      <c r="K13" s="127">
        <f>(J13/J26)*100</f>
        <v>5.633905855002723</v>
      </c>
    </row>
    <row r="14" spans="1:11" ht="15">
      <c r="A14" s="125" t="s">
        <v>92</v>
      </c>
      <c r="B14" s="126">
        <v>5075</v>
      </c>
      <c r="C14" s="127">
        <f>(B14/B26)*100</f>
        <v>3.4953234982161794</v>
      </c>
      <c r="D14" s="126">
        <v>5303</v>
      </c>
      <c r="E14" s="127">
        <f>(D14/D26)*100</f>
        <v>3.649112666267556</v>
      </c>
      <c r="F14" s="126">
        <v>5117</v>
      </c>
      <c r="G14" s="127">
        <f>(F14/F26)*100</f>
        <v>3.8704455891140412</v>
      </c>
      <c r="H14" s="126">
        <v>4728</v>
      </c>
      <c r="I14" s="127">
        <f>(H14/H26)*100</f>
        <v>3.5531507158155793</v>
      </c>
      <c r="J14" s="126">
        <v>4806</v>
      </c>
      <c r="K14" s="127">
        <f>(J14/J26)*100</f>
        <v>3.9065865732424014</v>
      </c>
    </row>
    <row r="15" spans="1:11" ht="15">
      <c r="A15" s="125" t="s">
        <v>101</v>
      </c>
      <c r="B15" s="126">
        <v>4334</v>
      </c>
      <c r="C15" s="127">
        <f>(B15/B26)*100</f>
        <v>2.9849718307919058</v>
      </c>
      <c r="D15" s="126">
        <v>4453</v>
      </c>
      <c r="E15" s="127">
        <f>(D15/D26)*100</f>
        <v>3.0642086937373985</v>
      </c>
      <c r="F15" s="126">
        <v>5373</v>
      </c>
      <c r="G15" s="127">
        <f>(F15/F26)*100</f>
        <v>4.064081327009916</v>
      </c>
      <c r="H15" s="126">
        <v>4069</v>
      </c>
      <c r="I15" s="127">
        <f>(H15/H26)*100</f>
        <v>3.0579040318641266</v>
      </c>
      <c r="J15" s="126">
        <v>3286</v>
      </c>
      <c r="K15" s="127">
        <f>(J15/J26)*100</f>
        <v>2.6710452517009013</v>
      </c>
    </row>
    <row r="16" spans="1:11" ht="15">
      <c r="A16" s="125" t="s">
        <v>158</v>
      </c>
      <c r="B16" s="126">
        <v>4200</v>
      </c>
      <c r="C16" s="127">
        <f>(B16/B26)*100</f>
        <v>2.8926815157651142</v>
      </c>
      <c r="D16" s="126">
        <v>4537</v>
      </c>
      <c r="E16" s="127">
        <f>(D16/D26)*100</f>
        <v>3.1220109686697906</v>
      </c>
      <c r="F16" s="126">
        <v>5903</v>
      </c>
      <c r="G16" s="127">
        <f>(F16/F26)*100</f>
        <v>4.464967815622471</v>
      </c>
      <c r="H16" s="126">
        <v>4331</v>
      </c>
      <c r="I16" s="127">
        <f>(H16/H26)*100</f>
        <v>3.254800285574719</v>
      </c>
      <c r="J16" s="126">
        <v>3603</v>
      </c>
      <c r="K16" s="127">
        <f>(J16/J26)*100</f>
        <v>2.928720645732912</v>
      </c>
    </row>
    <row r="17" spans="1:11" ht="15">
      <c r="A17" s="125" t="s">
        <v>91</v>
      </c>
      <c r="B17" s="126">
        <v>3900</v>
      </c>
      <c r="C17" s="127">
        <f>(B17/B26)*100</f>
        <v>2.6860614074961773</v>
      </c>
      <c r="D17" s="126">
        <v>4327</v>
      </c>
      <c r="E17" s="127">
        <f>(D17/D26)*100</f>
        <v>2.9775052813388108</v>
      </c>
      <c r="F17" s="126">
        <v>4563</v>
      </c>
      <c r="G17" s="127">
        <f>(F17/F26)*100</f>
        <v>3.451405750073748</v>
      </c>
      <c r="H17" s="126">
        <v>4001</v>
      </c>
      <c r="I17" s="127">
        <f>(H17/H26)*100</f>
        <v>3.0068011873896214</v>
      </c>
      <c r="J17" s="126">
        <v>4109</v>
      </c>
      <c r="K17" s="127">
        <f>(J17/J26)*100</f>
        <v>3.3400258488250163</v>
      </c>
    </row>
    <row r="18" spans="1:11" ht="15">
      <c r="A18" s="125" t="s">
        <v>280</v>
      </c>
      <c r="B18" s="126">
        <v>3600</v>
      </c>
      <c r="C18" s="127">
        <f>(B18/B26)*100</f>
        <v>2.4794412992272408</v>
      </c>
      <c r="D18" s="126">
        <v>3698</v>
      </c>
      <c r="E18" s="127">
        <f>(D18/D26)*100</f>
        <v>2.5446763416664946</v>
      </c>
      <c r="F18" s="126">
        <v>2817</v>
      </c>
      <c r="G18" s="127">
        <f>(F18/F26)*100</f>
        <v>2.130749506455785</v>
      </c>
      <c r="H18" s="126">
        <v>3203</v>
      </c>
      <c r="I18" s="127">
        <f>(H18/H26)*100</f>
        <v>2.407094277232931</v>
      </c>
      <c r="J18" s="126">
        <v>2845</v>
      </c>
      <c r="K18" s="127">
        <f>(J18/J26)*100</f>
        <v>2.3125756972273477</v>
      </c>
    </row>
    <row r="19" spans="1:11" ht="15">
      <c r="A19" s="125" t="s">
        <v>94</v>
      </c>
      <c r="B19" s="126">
        <v>3130</v>
      </c>
      <c r="C19" s="127">
        <f>(B19/B26)*100</f>
        <v>2.15573646293924</v>
      </c>
      <c r="D19" s="126">
        <v>3743</v>
      </c>
      <c r="E19" s="127">
        <f>(D19/D26)*100</f>
        <v>2.5756418460945616</v>
      </c>
      <c r="F19" s="126">
        <v>3840</v>
      </c>
      <c r="G19" s="127">
        <f>(F19/F26)*100</f>
        <v>2.904536068438131</v>
      </c>
      <c r="H19" s="126">
        <v>3950</v>
      </c>
      <c r="I19" s="127">
        <f>(H19/H26)*100</f>
        <v>2.968474054033743</v>
      </c>
      <c r="J19" s="126">
        <v>3835</v>
      </c>
      <c r="K19" s="127">
        <f>(J19/J26)*100</f>
        <v>3.117303268494509</v>
      </c>
    </row>
    <row r="20" spans="1:11" ht="15">
      <c r="A20" s="125" t="s">
        <v>99</v>
      </c>
      <c r="B20" s="126">
        <v>2100</v>
      </c>
      <c r="C20" s="127">
        <f>(B20/B26)*100</f>
        <v>1.4463407578825571</v>
      </c>
      <c r="D20" s="126">
        <v>2046</v>
      </c>
      <c r="E20" s="127">
        <f>(D20/D26)*100</f>
        <v>1.407898267996119</v>
      </c>
      <c r="F20" s="126">
        <v>1886</v>
      </c>
      <c r="G20" s="127">
        <f>(F20/F26)*100</f>
        <v>1.4265507877797696</v>
      </c>
      <c r="H20" s="126">
        <v>982</v>
      </c>
      <c r="I20" s="127">
        <f>(H20/H26)*100</f>
        <v>0.7379851952053508</v>
      </c>
      <c r="J20" s="126">
        <v>1795</v>
      </c>
      <c r="K20" s="127">
        <f>(J20/J26)*100</f>
        <v>1.4590767580046007</v>
      </c>
    </row>
    <row r="21" spans="1:11" ht="15">
      <c r="A21" s="125" t="s">
        <v>138</v>
      </c>
      <c r="B21" s="126">
        <v>1500</v>
      </c>
      <c r="C21" s="127">
        <f>(B21/B26)*100</f>
        <v>1.0331005413446837</v>
      </c>
      <c r="D21" s="126">
        <v>1884</v>
      </c>
      <c r="E21" s="127">
        <f>(D21/D26)*100</f>
        <v>1.2964224520550773</v>
      </c>
      <c r="F21" s="126">
        <v>2193</v>
      </c>
      <c r="G21" s="127">
        <f>(F21/F26)*100</f>
        <v>1.6587623953345891</v>
      </c>
      <c r="H21" s="126">
        <v>1634</v>
      </c>
      <c r="I21" s="127">
        <f>(H21/H26)*100</f>
        <v>1.227971292225604</v>
      </c>
      <c r="J21" s="126">
        <v>1871</v>
      </c>
      <c r="K21" s="127">
        <f>(J21/J26)*100</f>
        <v>1.5208538240816758</v>
      </c>
    </row>
    <row r="22" spans="1:11" ht="15">
      <c r="A22" s="125" t="s">
        <v>282</v>
      </c>
      <c r="B22" s="126">
        <v>1437</v>
      </c>
      <c r="C22" s="127">
        <f>(B22/B26)*100</f>
        <v>0.9897103186082069</v>
      </c>
      <c r="D22" s="126">
        <v>1571</v>
      </c>
      <c r="E22" s="127">
        <f>(D22/D26)*100</f>
        <v>1.0810401656998547</v>
      </c>
      <c r="F22" s="126">
        <v>1462</v>
      </c>
      <c r="G22" s="127">
        <f>(F22/F26)*100</f>
        <v>1.105841596889726</v>
      </c>
      <c r="H22" s="126">
        <v>1392</v>
      </c>
      <c r="I22" s="127">
        <f>(H22/H26)*100</f>
        <v>1.0461052868898657</v>
      </c>
      <c r="J22" s="126">
        <v>1304</v>
      </c>
      <c r="K22" s="127">
        <f>(J22/J26)*100</f>
        <v>1.0599643969013923</v>
      </c>
    </row>
    <row r="23" spans="1:11" ht="15" customHeight="1">
      <c r="A23" s="125" t="s">
        <v>137</v>
      </c>
      <c r="B23" s="126">
        <v>844</v>
      </c>
      <c r="C23" s="127">
        <f>(B23/B26)*100</f>
        <v>0.581291237929942</v>
      </c>
      <c r="D23" s="126">
        <v>1360</v>
      </c>
      <c r="E23" s="127">
        <f>(D23/D26)*100</f>
        <v>0.9358463560482512</v>
      </c>
      <c r="F23" s="126">
        <v>1152</v>
      </c>
      <c r="G23" s="127">
        <f>(F23/F26)*100</f>
        <v>0.8713608205314394</v>
      </c>
      <c r="H23" s="126">
        <v>1814</v>
      </c>
      <c r="I23" s="127">
        <f>(H23/H26)*100</f>
        <v>1.3632435275992936</v>
      </c>
      <c r="J23" s="126">
        <v>1065</v>
      </c>
      <c r="K23" s="127">
        <f>(J23/J26)*100</f>
        <v>0.8656917812116434</v>
      </c>
    </row>
    <row r="24" spans="1:11" ht="15" customHeight="1" hidden="1">
      <c r="A24" s="125"/>
      <c r="B24" s="126">
        <f>SUM(B9:B23)</f>
        <v>136039</v>
      </c>
      <c r="C24" s="128"/>
      <c r="D24" s="126">
        <f>SUM(D9:D23)</f>
        <v>135474</v>
      </c>
      <c r="E24" s="128"/>
      <c r="F24" s="126">
        <f>SUM(F9:F23)</f>
        <v>121817</v>
      </c>
      <c r="G24" s="128"/>
      <c r="H24" s="126">
        <f>SUM(H9:H23)</f>
        <v>122818</v>
      </c>
      <c r="I24" s="128"/>
      <c r="J24" s="126">
        <f>SUM(J9:J23)</f>
        <v>112223</v>
      </c>
      <c r="K24" s="128"/>
    </row>
    <row r="25" spans="1:11" ht="15">
      <c r="A25" s="125" t="s">
        <v>93</v>
      </c>
      <c r="B25" s="131">
        <f>B26-B24</f>
        <v>9155</v>
      </c>
      <c r="C25" s="130">
        <f>(B25/B26)*100</f>
        <v>6.305356970673719</v>
      </c>
      <c r="D25" s="131">
        <f>D26-D24</f>
        <v>9849</v>
      </c>
      <c r="E25" s="130">
        <f>(D25/D26)*100</f>
        <v>6.77731673582296</v>
      </c>
      <c r="F25" s="131">
        <f>F26-F24</f>
        <v>10390</v>
      </c>
      <c r="G25" s="130">
        <f>(F25/F26)*100</f>
        <v>7.858887956008381</v>
      </c>
      <c r="H25" s="131">
        <f>H26-H24</f>
        <v>10247</v>
      </c>
      <c r="I25" s="130">
        <f>(H25/H26)*100</f>
        <v>7.700747754856649</v>
      </c>
      <c r="J25" s="131">
        <f>J26-J24</f>
        <v>10800</v>
      </c>
      <c r="K25" s="130">
        <f>(J25/J26)*100</f>
        <v>8.778846232005396</v>
      </c>
    </row>
    <row r="26" spans="1:11" ht="18" customHeight="1">
      <c r="A26" s="370" t="s">
        <v>2</v>
      </c>
      <c r="B26" s="369">
        <v>145194</v>
      </c>
      <c r="C26" s="368">
        <f>SUM(C9:C25)</f>
        <v>100</v>
      </c>
      <c r="D26" s="369">
        <v>145323</v>
      </c>
      <c r="E26" s="368">
        <f>SUM(E9:E25)</f>
        <v>99.99999999999999</v>
      </c>
      <c r="F26" s="369">
        <v>132207</v>
      </c>
      <c r="G26" s="368">
        <f>SUM(G9:G25)</f>
        <v>100</v>
      </c>
      <c r="H26" s="369">
        <v>133065</v>
      </c>
      <c r="I26" s="368">
        <f>SUM(I9:I25)</f>
        <v>100.00000000000001</v>
      </c>
      <c r="J26" s="369">
        <v>123023</v>
      </c>
      <c r="K26" s="368">
        <f>SUM(K9:K25)</f>
        <v>99.99999999999999</v>
      </c>
    </row>
    <row r="27" spans="1:11" ht="15" customHeight="1">
      <c r="A27" s="268" t="s">
        <v>141</v>
      </c>
      <c r="B27" s="119"/>
      <c r="C27" s="119"/>
      <c r="D27" s="113"/>
      <c r="E27" s="113"/>
      <c r="F27" s="141"/>
      <c r="G27" s="141"/>
      <c r="H27" s="141"/>
      <c r="I27" s="141"/>
      <c r="J27" s="141"/>
      <c r="K27" s="141"/>
    </row>
    <row r="28" spans="1:11" ht="12.75" customHeight="1">
      <c r="A28" s="230"/>
      <c r="B28" s="119"/>
      <c r="C28" s="119"/>
      <c r="D28" s="113"/>
      <c r="E28" s="113"/>
      <c r="F28" s="141"/>
      <c r="G28" s="141"/>
      <c r="H28" s="141"/>
      <c r="I28" s="141"/>
      <c r="J28" s="141"/>
      <c r="K28" s="141"/>
    </row>
    <row r="29" spans="1:11" ht="20.25" customHeight="1">
      <c r="A29" s="558" t="s">
        <v>335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</row>
    <row r="30" spans="1:11" ht="15" customHeight="1">
      <c r="A30" s="546" t="s">
        <v>87</v>
      </c>
      <c r="B30" s="557" t="s">
        <v>309</v>
      </c>
      <c r="C30" s="557"/>
      <c r="D30" s="557" t="s">
        <v>281</v>
      </c>
      <c r="E30" s="557"/>
      <c r="F30" s="375" t="s">
        <v>226</v>
      </c>
      <c r="G30" s="375"/>
      <c r="H30" s="375" t="s">
        <v>218</v>
      </c>
      <c r="I30" s="375"/>
      <c r="J30" s="375" t="s">
        <v>209</v>
      </c>
      <c r="K30" s="375"/>
    </row>
    <row r="31" spans="1:11" ht="15" customHeight="1">
      <c r="A31" s="546"/>
      <c r="B31" s="114" t="s">
        <v>125</v>
      </c>
      <c r="C31" s="114" t="s">
        <v>88</v>
      </c>
      <c r="D31" s="114" t="s">
        <v>125</v>
      </c>
      <c r="E31" s="114" t="s">
        <v>88</v>
      </c>
      <c r="F31" s="114" t="s">
        <v>125</v>
      </c>
      <c r="G31" s="114" t="s">
        <v>88</v>
      </c>
      <c r="H31" s="114" t="s">
        <v>125</v>
      </c>
      <c r="I31" s="114" t="s">
        <v>88</v>
      </c>
      <c r="J31" s="114" t="s">
        <v>125</v>
      </c>
      <c r="K31" s="114" t="s">
        <v>88</v>
      </c>
    </row>
    <row r="32" spans="1:11" ht="15">
      <c r="A32" s="132" t="s">
        <v>98</v>
      </c>
      <c r="B32" s="123">
        <v>32010</v>
      </c>
      <c r="C32" s="124">
        <f>(B32/B49)*100</f>
        <v>29.40717127081974</v>
      </c>
      <c r="D32" s="123">
        <v>28735</v>
      </c>
      <c r="E32" s="124">
        <f>(D32/D49)*100</f>
        <v>25.92732948957403</v>
      </c>
      <c r="F32" s="123">
        <v>33610</v>
      </c>
      <c r="G32" s="124">
        <f>(F32/F49)*100</f>
        <v>32.14022740095436</v>
      </c>
      <c r="H32" s="123">
        <v>33494</v>
      </c>
      <c r="I32" s="124">
        <f>(H32/H49)*100</f>
        <v>34.55590289599389</v>
      </c>
      <c r="J32" s="123">
        <v>30481</v>
      </c>
      <c r="K32" s="124">
        <f>(J32/J49)*100</f>
        <v>31.653772262318913</v>
      </c>
    </row>
    <row r="33" spans="1:11" ht="15">
      <c r="A33" s="129" t="s">
        <v>198</v>
      </c>
      <c r="B33" s="142">
        <v>18397</v>
      </c>
      <c r="C33" s="127">
        <f>(B33/B49)*100</f>
        <v>16.901084969361786</v>
      </c>
      <c r="D33" s="142">
        <v>25475</v>
      </c>
      <c r="E33" s="127">
        <f>(D33/D49)*100</f>
        <v>22.985861101336294</v>
      </c>
      <c r="F33" s="142">
        <v>17675</v>
      </c>
      <c r="G33" s="127">
        <f>(F33/F49)*100</f>
        <v>16.902068411540263</v>
      </c>
      <c r="H33" s="142">
        <v>14229</v>
      </c>
      <c r="I33" s="127">
        <f>(H33/H49)*100</f>
        <v>14.680120090377294</v>
      </c>
      <c r="J33" s="142">
        <v>17052</v>
      </c>
      <c r="K33" s="127">
        <f>(J33/J49)*100</f>
        <v>17.708084531907158</v>
      </c>
    </row>
    <row r="34" spans="1:11" ht="15">
      <c r="A34" s="129" t="s">
        <v>90</v>
      </c>
      <c r="B34" s="142">
        <v>10897</v>
      </c>
      <c r="C34" s="127">
        <f>(B34/B49)*100</f>
        <v>10.010932375449007</v>
      </c>
      <c r="D34" s="142">
        <v>10720</v>
      </c>
      <c r="E34" s="127">
        <f>(D34/D49)*100</f>
        <v>9.672558626352307</v>
      </c>
      <c r="F34" s="142">
        <v>6159</v>
      </c>
      <c r="G34" s="127">
        <f>(F34/F49)*100</f>
        <v>5.889665592456944</v>
      </c>
      <c r="H34" s="142">
        <v>5489</v>
      </c>
      <c r="I34" s="127">
        <f>(H34/H49)*100</f>
        <v>5.6630247505854925</v>
      </c>
      <c r="J34" s="142">
        <v>7907</v>
      </c>
      <c r="K34" s="127">
        <f>(J34/J49)*100</f>
        <v>8.211225920348927</v>
      </c>
    </row>
    <row r="35" spans="1:11" ht="15">
      <c r="A35" s="129" t="s">
        <v>89</v>
      </c>
      <c r="B35" s="142">
        <v>9676</v>
      </c>
      <c r="C35" s="127">
        <f>(B35/B49)*100</f>
        <v>8.889215533160009</v>
      </c>
      <c r="D35" s="142">
        <v>7170</v>
      </c>
      <c r="E35" s="127">
        <f>(D35/D49)*100</f>
        <v>6.469425872289744</v>
      </c>
      <c r="F35" s="142">
        <v>7734</v>
      </c>
      <c r="G35" s="127">
        <f>(F35/F49)*100</f>
        <v>7.395790500415977</v>
      </c>
      <c r="H35" s="142">
        <v>7822</v>
      </c>
      <c r="I35" s="127">
        <f>(H35/H49)*100</f>
        <v>8.069990817831977</v>
      </c>
      <c r="J35" s="142">
        <v>7894</v>
      </c>
      <c r="K35" s="127">
        <f>(J35/J49)*100</f>
        <v>8.197725738615711</v>
      </c>
    </row>
    <row r="36" spans="1:11" ht="15">
      <c r="A36" s="129" t="s">
        <v>92</v>
      </c>
      <c r="B36" s="142">
        <v>5390</v>
      </c>
      <c r="C36" s="127">
        <f>(B36/B49)*100</f>
        <v>4.951722997491984</v>
      </c>
      <c r="D36" s="142">
        <v>5288</v>
      </c>
      <c r="E36" s="127">
        <f>(D36/D49)*100</f>
        <v>4.771314367178266</v>
      </c>
      <c r="F36" s="142">
        <v>5840</v>
      </c>
      <c r="G36" s="127">
        <f>(F36/F49)*100</f>
        <v>5.584615531733813</v>
      </c>
      <c r="H36" s="142">
        <v>4631</v>
      </c>
      <c r="I36" s="127">
        <f>(H36/H49)*100</f>
        <v>4.77782248496291</v>
      </c>
      <c r="J36" s="142">
        <v>3007</v>
      </c>
      <c r="K36" s="127">
        <f>(J36/J49)*100</f>
        <v>3.1226958824445714</v>
      </c>
    </row>
    <row r="37" spans="1:11" ht="15">
      <c r="A37" s="129" t="s">
        <v>158</v>
      </c>
      <c r="B37" s="126">
        <v>4185</v>
      </c>
      <c r="C37" s="127">
        <f>(B37/B49)*100</f>
        <v>3.8447051474033307</v>
      </c>
      <c r="D37" s="126">
        <v>5508</v>
      </c>
      <c r="E37" s="127">
        <f>(D37/D49)*100</f>
        <v>4.969818368838481</v>
      </c>
      <c r="F37" s="126">
        <v>3947</v>
      </c>
      <c r="G37" s="127">
        <f>(F37/F49)*100</f>
        <v>3.774396832834479</v>
      </c>
      <c r="H37" s="126">
        <v>3349</v>
      </c>
      <c r="I37" s="127">
        <f>(H37/H49)*100</f>
        <v>3.4551776078904743</v>
      </c>
      <c r="J37" s="126">
        <v>3084</v>
      </c>
      <c r="K37" s="127">
        <f>(J37/J49)*100</f>
        <v>3.2026584973259253</v>
      </c>
    </row>
    <row r="38" spans="1:11" ht="15">
      <c r="A38" s="129" t="s">
        <v>101</v>
      </c>
      <c r="B38" s="142">
        <v>3857</v>
      </c>
      <c r="C38" s="127">
        <f>(B38/B49)*100</f>
        <v>3.5433758072962127</v>
      </c>
      <c r="D38" s="142">
        <v>4310</v>
      </c>
      <c r="E38" s="127">
        <f>(D38/D49)*100</f>
        <v>3.8888738507069447</v>
      </c>
      <c r="F38" s="142">
        <v>4697</v>
      </c>
      <c r="G38" s="127">
        <f>(F38/F49)*100</f>
        <v>4.491599169957829</v>
      </c>
      <c r="H38" s="142">
        <v>3817</v>
      </c>
      <c r="I38" s="127">
        <f>(H38/H49)*100</f>
        <v>3.9380152073209738</v>
      </c>
      <c r="J38" s="142">
        <v>2999</v>
      </c>
      <c r="K38" s="127">
        <f>(J38/J49)*100</f>
        <v>3.114388078301054</v>
      </c>
    </row>
    <row r="39" spans="1:11" ht="15">
      <c r="A39" s="129" t="s">
        <v>280</v>
      </c>
      <c r="B39" s="126">
        <v>3672</v>
      </c>
      <c r="C39" s="127">
        <f>(B39/B49)*100</f>
        <v>3.373418709979697</v>
      </c>
      <c r="D39" s="126">
        <v>2685</v>
      </c>
      <c r="E39" s="127">
        <f>(D39/D49)*100</f>
        <v>2.422651111171264</v>
      </c>
      <c r="F39" s="126">
        <v>3142</v>
      </c>
      <c r="G39" s="127">
        <f>(F39/F49)*100</f>
        <v>3.004599657655418</v>
      </c>
      <c r="H39" s="126">
        <v>2657</v>
      </c>
      <c r="I39" s="127">
        <f>(H39/H49)*100</f>
        <v>2.7412382514675993</v>
      </c>
      <c r="J39" s="126">
        <v>3014</v>
      </c>
      <c r="K39" s="127">
        <f>(J39/J49)*100</f>
        <v>3.129965211070149</v>
      </c>
    </row>
    <row r="40" spans="1:11" ht="15">
      <c r="A40" s="129" t="s">
        <v>94</v>
      </c>
      <c r="B40" s="142">
        <v>3589</v>
      </c>
      <c r="C40" s="127">
        <f>(B40/B49)*100</f>
        <v>3.2971676879403957</v>
      </c>
      <c r="D40" s="142">
        <v>3750</v>
      </c>
      <c r="E40" s="127">
        <f>(D40/D49)*100</f>
        <v>3.383590937390033</v>
      </c>
      <c r="F40" s="142">
        <v>3697</v>
      </c>
      <c r="G40" s="127">
        <f>(F40/F49)*100</f>
        <v>3.5353293871266964</v>
      </c>
      <c r="H40" s="142">
        <v>3468</v>
      </c>
      <c r="I40" s="127">
        <f>(H40/H49)*100</f>
        <v>3.5779504162926736</v>
      </c>
      <c r="J40" s="142">
        <v>3493</v>
      </c>
      <c r="K40" s="127">
        <f>(J40/J49)*100</f>
        <v>3.6273949841632485</v>
      </c>
    </row>
    <row r="41" spans="1:11" ht="15">
      <c r="A41" s="125" t="s">
        <v>91</v>
      </c>
      <c r="B41" s="142">
        <v>3132</v>
      </c>
      <c r="C41" s="127">
        <f>(B41/B49)*100</f>
        <v>2.877327723217977</v>
      </c>
      <c r="D41" s="142">
        <v>3556</v>
      </c>
      <c r="E41" s="127">
        <f>(D41/D49)*100</f>
        <v>3.208546499562389</v>
      </c>
      <c r="F41" s="142">
        <v>2907</v>
      </c>
      <c r="G41" s="127">
        <f>(F41/F49)*100</f>
        <v>2.7798762586901016</v>
      </c>
      <c r="H41" s="142">
        <v>2498</v>
      </c>
      <c r="I41" s="127">
        <f>(H41/H49)*100</f>
        <v>2.5771972721739043</v>
      </c>
      <c r="J41" s="142">
        <v>2838</v>
      </c>
      <c r="K41" s="127">
        <f>(J41/J49)*100</f>
        <v>2.947193519912768</v>
      </c>
    </row>
    <row r="42" spans="1:11" ht="15">
      <c r="A42" s="125" t="s">
        <v>100</v>
      </c>
      <c r="B42" s="142">
        <v>2870</v>
      </c>
      <c r="C42" s="127">
        <f>(B42/B49)*100</f>
        <v>2.6366317259372907</v>
      </c>
      <c r="D42" s="142">
        <v>3203</v>
      </c>
      <c r="E42" s="127">
        <f>(D42/D49)*100</f>
        <v>2.890037805989407</v>
      </c>
      <c r="F42" s="142">
        <v>2675</v>
      </c>
      <c r="G42" s="127">
        <f>(F42/F49)*100</f>
        <v>2.558021669073279</v>
      </c>
      <c r="H42" s="142">
        <v>3324</v>
      </c>
      <c r="I42" s="127">
        <f>(H42/H49)*100</f>
        <v>3.42938500108329</v>
      </c>
      <c r="J42" s="142">
        <v>1851</v>
      </c>
      <c r="K42" s="127">
        <f>(J42/J49)*100</f>
        <v>1.922218183706319</v>
      </c>
    </row>
    <row r="43" spans="1:11" ht="15">
      <c r="A43" s="129" t="s">
        <v>99</v>
      </c>
      <c r="B43" s="142">
        <v>1942</v>
      </c>
      <c r="C43" s="127">
        <f>(B43/B49)*100</f>
        <v>1.7840901783171492</v>
      </c>
      <c r="D43" s="142">
        <v>1712</v>
      </c>
      <c r="E43" s="127">
        <f>(D43/D49)*100</f>
        <v>1.54472204928313</v>
      </c>
      <c r="F43" s="142">
        <v>772</v>
      </c>
      <c r="G43" s="127">
        <f>(F43/F49)*100</f>
        <v>0.7382402723456342</v>
      </c>
      <c r="H43" s="142">
        <v>1912</v>
      </c>
      <c r="I43" s="127">
        <f>(H43/H49)*100</f>
        <v>1.9726185686134927</v>
      </c>
      <c r="J43" s="142">
        <v>1807</v>
      </c>
      <c r="K43" s="127">
        <f>(J43/J49)*100</f>
        <v>1.8765252609169738</v>
      </c>
    </row>
    <row r="44" spans="1:11" ht="15">
      <c r="A44" s="125" t="s">
        <v>138</v>
      </c>
      <c r="B44" s="142">
        <v>1651</v>
      </c>
      <c r="C44" s="127">
        <f>(B44/B49)*100</f>
        <v>1.5167522576733332</v>
      </c>
      <c r="D44" s="142">
        <v>1987</v>
      </c>
      <c r="E44" s="127">
        <f>(D44/D49)*100</f>
        <v>1.7928520513583992</v>
      </c>
      <c r="F44" s="142">
        <v>1468</v>
      </c>
      <c r="G44" s="127">
        <f>(F44/F49)*100</f>
        <v>1.4038040411961021</v>
      </c>
      <c r="H44" s="142">
        <v>1712</v>
      </c>
      <c r="I44" s="127">
        <f>(H44/H49)*100</f>
        <v>1.7662777141560144</v>
      </c>
      <c r="J44" s="142">
        <v>1374</v>
      </c>
      <c r="K44" s="127">
        <f>(J44/J49)*100</f>
        <v>1.4268653616490992</v>
      </c>
    </row>
    <row r="45" spans="1:11" ht="15">
      <c r="A45" s="125" t="s">
        <v>282</v>
      </c>
      <c r="B45" s="126">
        <v>1344</v>
      </c>
      <c r="C45" s="127">
        <f>(B45/B49)*100</f>
        <v>1.2347153448291701</v>
      </c>
      <c r="D45" s="126">
        <v>1374</v>
      </c>
      <c r="E45" s="127">
        <f>(D45/D49)*100</f>
        <v>1.2397477194597082</v>
      </c>
      <c r="F45" s="126">
        <v>1243</v>
      </c>
      <c r="G45" s="127">
        <f>(F45/F49)*100</f>
        <v>1.1886433400590974</v>
      </c>
      <c r="H45" s="126">
        <v>1200</v>
      </c>
      <c r="I45" s="127">
        <f>(H45/H49)*100</f>
        <v>1.23804512674487</v>
      </c>
      <c r="J45" s="126">
        <v>1236</v>
      </c>
      <c r="K45" s="127">
        <f>(J45/J49)*100</f>
        <v>1.2835557401734254</v>
      </c>
    </row>
    <row r="46" spans="1:11" ht="15" customHeight="1">
      <c r="A46" s="125" t="s">
        <v>137</v>
      </c>
      <c r="B46" s="142">
        <v>1103</v>
      </c>
      <c r="C46" s="127">
        <f>(B46/B49)*100</f>
        <v>1.0133117748114395</v>
      </c>
      <c r="D46" s="142">
        <v>1044</v>
      </c>
      <c r="E46" s="127">
        <f>(D46/D49)*100</f>
        <v>0.9419917169693852</v>
      </c>
      <c r="F46" s="142">
        <v>1826</v>
      </c>
      <c r="G46" s="127">
        <f>(F46/F49)*100</f>
        <v>1.7461486234496477</v>
      </c>
      <c r="H46" s="142">
        <v>1082</v>
      </c>
      <c r="I46" s="127">
        <f>(H46/H49)*100</f>
        <v>1.1163040226149576</v>
      </c>
      <c r="J46" s="142">
        <v>1309</v>
      </c>
      <c r="K46" s="127">
        <f>(J46/J49)*100</f>
        <v>1.3593644529830209</v>
      </c>
    </row>
    <row r="47" spans="1:11" ht="14.25" customHeight="1" hidden="1">
      <c r="A47" s="129"/>
      <c r="B47" s="142">
        <f>SUM(B32:B46)</f>
        <v>103715</v>
      </c>
      <c r="C47" s="128"/>
      <c r="D47" s="142">
        <f>SUM(D32:D46)</f>
        <v>106517</v>
      </c>
      <c r="E47" s="128"/>
      <c r="F47" s="142">
        <f>SUM(F32:F46)</f>
        <v>97392</v>
      </c>
      <c r="G47" s="128"/>
      <c r="H47" s="142">
        <f>SUM(H32:H46)</f>
        <v>90684</v>
      </c>
      <c r="I47" s="128"/>
      <c r="J47" s="142">
        <f>SUM(J32:J46)</f>
        <v>89346</v>
      </c>
      <c r="K47" s="128"/>
    </row>
    <row r="48" spans="1:11" ht="15">
      <c r="A48" s="133" t="s">
        <v>93</v>
      </c>
      <c r="B48" s="131">
        <f>B49-B47</f>
        <v>5136</v>
      </c>
      <c r="C48" s="130">
        <f>(B48/B49)*100</f>
        <v>4.718376496311471</v>
      </c>
      <c r="D48" s="131">
        <f>D49-D47</f>
        <v>4312</v>
      </c>
      <c r="E48" s="130">
        <f>(D48/D49)*100</f>
        <v>3.89067843254022</v>
      </c>
      <c r="F48" s="131">
        <f>F49-F47</f>
        <v>7181</v>
      </c>
      <c r="G48" s="130">
        <f>(F48/F49)*100</f>
        <v>6.866973310510362</v>
      </c>
      <c r="H48" s="131">
        <f>H49-H47</f>
        <v>6243</v>
      </c>
      <c r="I48" s="130">
        <f>(H48/H49)*100</f>
        <v>6.440929771890186</v>
      </c>
      <c r="J48" s="131">
        <f>J49-J47</f>
        <v>6949</v>
      </c>
      <c r="K48" s="130">
        <f>(J48/J49)*100</f>
        <v>7.216366374162729</v>
      </c>
    </row>
    <row r="49" spans="1:11" ht="18" customHeight="1">
      <c r="A49" s="371" t="s">
        <v>2</v>
      </c>
      <c r="B49" s="369">
        <v>108851</v>
      </c>
      <c r="C49" s="368">
        <f>SUM(C32:C48)</f>
        <v>100</v>
      </c>
      <c r="D49" s="369">
        <v>110829</v>
      </c>
      <c r="E49" s="368">
        <f>SUM(E32:E48)</f>
        <v>100</v>
      </c>
      <c r="F49" s="369">
        <v>104573</v>
      </c>
      <c r="G49" s="368">
        <f>SUM(G32:G48)</f>
        <v>99.99999999999999</v>
      </c>
      <c r="H49" s="369">
        <v>96927</v>
      </c>
      <c r="I49" s="368">
        <f>SUM(I32:I48)</f>
        <v>100</v>
      </c>
      <c r="J49" s="369">
        <v>96295</v>
      </c>
      <c r="K49" s="368">
        <f>SUM(K32:K48)</f>
        <v>99.99999999999999</v>
      </c>
    </row>
    <row r="50" spans="1:11" ht="15" customHeight="1">
      <c r="A50" s="267" t="s">
        <v>142</v>
      </c>
      <c r="B50" s="120"/>
      <c r="C50" s="120"/>
      <c r="D50" s="35"/>
      <c r="E50" s="35"/>
      <c r="F50" s="35"/>
      <c r="G50" s="35"/>
      <c r="H50" s="33"/>
      <c r="I50" s="34"/>
      <c r="J50" s="33"/>
      <c r="K50" s="34"/>
    </row>
    <row r="51" spans="1:11" ht="12.75" customHeight="1">
      <c r="A51" s="230"/>
      <c r="B51" s="120"/>
      <c r="C51" s="120"/>
      <c r="D51" s="35"/>
      <c r="E51" s="35"/>
      <c r="F51" s="35"/>
      <c r="G51" s="35"/>
      <c r="H51" s="33"/>
      <c r="I51" s="34"/>
      <c r="J51" s="33"/>
      <c r="K51" s="34"/>
    </row>
    <row r="52" spans="1:11" ht="20.25" customHeight="1">
      <c r="A52" s="558" t="s">
        <v>336</v>
      </c>
      <c r="B52" s="558"/>
      <c r="C52" s="558"/>
      <c r="D52" s="558"/>
      <c r="E52" s="558"/>
      <c r="F52" s="558"/>
      <c r="G52" s="558"/>
      <c r="H52" s="558"/>
      <c r="I52" s="558"/>
      <c r="J52" s="558"/>
      <c r="K52" s="558"/>
    </row>
    <row r="53" spans="1:11" ht="15" customHeight="1">
      <c r="A53" s="546" t="s">
        <v>87</v>
      </c>
      <c r="B53" s="557" t="s">
        <v>309</v>
      </c>
      <c r="C53" s="557"/>
      <c r="D53" s="557" t="s">
        <v>281</v>
      </c>
      <c r="E53" s="557"/>
      <c r="F53" s="375" t="s">
        <v>226</v>
      </c>
      <c r="G53" s="375"/>
      <c r="H53" s="375" t="s">
        <v>218</v>
      </c>
      <c r="I53" s="375"/>
      <c r="J53" s="375" t="s">
        <v>209</v>
      </c>
      <c r="K53" s="375"/>
    </row>
    <row r="54" spans="1:11" ht="15" customHeight="1">
      <c r="A54" s="546"/>
      <c r="B54" s="114" t="s">
        <v>126</v>
      </c>
      <c r="C54" s="114" t="s">
        <v>88</v>
      </c>
      <c r="D54" s="114" t="s">
        <v>126</v>
      </c>
      <c r="E54" s="114" t="s">
        <v>88</v>
      </c>
      <c r="F54" s="114" t="s">
        <v>126</v>
      </c>
      <c r="G54" s="114" t="s">
        <v>88</v>
      </c>
      <c r="H54" s="114" t="s">
        <v>126</v>
      </c>
      <c r="I54" s="114" t="s">
        <v>88</v>
      </c>
      <c r="J54" s="114" t="s">
        <v>126</v>
      </c>
      <c r="K54" s="114" t="s">
        <v>88</v>
      </c>
    </row>
    <row r="55" spans="1:11" ht="15" customHeight="1">
      <c r="A55" s="132" t="s">
        <v>98</v>
      </c>
      <c r="B55" s="123">
        <v>20085</v>
      </c>
      <c r="C55" s="124">
        <f>(B55/B72)*100</f>
        <v>44.962055919948064</v>
      </c>
      <c r="D55" s="123">
        <v>20330</v>
      </c>
      <c r="E55" s="124">
        <f>(D55/D72)*100</f>
        <v>46.767885898320685</v>
      </c>
      <c r="F55" s="123">
        <v>19720</v>
      </c>
      <c r="G55" s="124">
        <f>(F55/F72)*100</f>
        <v>46.51162790697674</v>
      </c>
      <c r="H55" s="123">
        <v>19131.83</v>
      </c>
      <c r="I55" s="124">
        <f>(H55/H72)*100</f>
        <v>46.90668595385785</v>
      </c>
      <c r="J55" s="123">
        <v>18389.9</v>
      </c>
      <c r="K55" s="124">
        <f>(J55/J72)*100</f>
        <v>46.42038570274637</v>
      </c>
    </row>
    <row r="56" spans="1:11" ht="15" customHeight="1">
      <c r="A56" s="129" t="s">
        <v>90</v>
      </c>
      <c r="B56" s="142">
        <v>3584</v>
      </c>
      <c r="C56" s="127">
        <f>(B56/B72)*100</f>
        <v>8.023102236350205</v>
      </c>
      <c r="D56" s="142">
        <v>3584</v>
      </c>
      <c r="E56" s="127">
        <f>(D56/D72)*100</f>
        <v>8.244766505636072</v>
      </c>
      <c r="F56" s="142">
        <v>3333</v>
      </c>
      <c r="G56" s="127">
        <f>(F56/F72)*100</f>
        <v>7.861219868861739</v>
      </c>
      <c r="H56" s="142">
        <v>3333</v>
      </c>
      <c r="I56" s="127">
        <f>(H56/H72)*100</f>
        <v>8.171721381812832</v>
      </c>
      <c r="J56" s="142">
        <v>3333</v>
      </c>
      <c r="K56" s="127">
        <f>(J56/J72)*100</f>
        <v>8.413267366720516</v>
      </c>
    </row>
    <row r="57" spans="1:11" ht="15" customHeight="1">
      <c r="A57" s="129" t="s">
        <v>100</v>
      </c>
      <c r="B57" s="142">
        <v>3383</v>
      </c>
      <c r="C57" s="127">
        <f>(B57/B72)*100</f>
        <v>7.573145888831681</v>
      </c>
      <c r="D57" s="142">
        <v>3383</v>
      </c>
      <c r="E57" s="127">
        <f>(D57/D72)*100</f>
        <v>7.782378651943869</v>
      </c>
      <c r="F57" s="142">
        <v>3383</v>
      </c>
      <c r="G57" s="127">
        <f>(F57/F72)*100</f>
        <v>7.979149959903769</v>
      </c>
      <c r="H57" s="142">
        <v>3253</v>
      </c>
      <c r="I57" s="127">
        <f>(H57/H72)*100</f>
        <v>7.975580454556599</v>
      </c>
      <c r="J57" s="142">
        <v>3089</v>
      </c>
      <c r="K57" s="127">
        <f>(J57/J72)*100</f>
        <v>7.797354604200322</v>
      </c>
    </row>
    <row r="58" spans="1:11" ht="15" customHeight="1">
      <c r="A58" s="129" t="s">
        <v>91</v>
      </c>
      <c r="B58" s="142">
        <v>2354</v>
      </c>
      <c r="C58" s="127">
        <f>(B58/B72)*100</f>
        <v>5.269638020192071</v>
      </c>
      <c r="D58" s="142">
        <v>2354</v>
      </c>
      <c r="E58" s="127">
        <f>(D58/D72)*100</f>
        <v>5.415228893489763</v>
      </c>
      <c r="F58" s="142">
        <v>2354</v>
      </c>
      <c r="G58" s="127">
        <f>(F58/F72)*100</f>
        <v>5.552148686258786</v>
      </c>
      <c r="H58" s="142">
        <v>2239</v>
      </c>
      <c r="I58" s="127">
        <f>(H58/H72)*100</f>
        <v>5.489494201583838</v>
      </c>
      <c r="J58" s="142">
        <v>2200</v>
      </c>
      <c r="K58" s="127">
        <f>(J58/J72)*100</f>
        <v>5.553311793214863</v>
      </c>
    </row>
    <row r="59" spans="1:11" ht="15" customHeight="1">
      <c r="A59" s="129" t="s">
        <v>92</v>
      </c>
      <c r="B59" s="142">
        <v>1917</v>
      </c>
      <c r="C59" s="127">
        <f>(B59/B72)*100</f>
        <v>4.291374717378165</v>
      </c>
      <c r="D59" s="142">
        <v>1917</v>
      </c>
      <c r="E59" s="127">
        <f>(D59/D72)*100</f>
        <v>4.409937888198757</v>
      </c>
      <c r="F59" s="142">
        <v>1829</v>
      </c>
      <c r="G59" s="127">
        <f>(F59/F72)*100</f>
        <v>4.313882730317467</v>
      </c>
      <c r="H59" s="142">
        <v>1725</v>
      </c>
      <c r="I59" s="127">
        <f>(H59/H72)*100</f>
        <v>4.229288743962537</v>
      </c>
      <c r="J59" s="142">
        <v>1605</v>
      </c>
      <c r="K59" s="127">
        <f>(J59/J72)*100</f>
        <v>4.05139337641357</v>
      </c>
    </row>
    <row r="60" spans="1:11" ht="15" customHeight="1">
      <c r="A60" s="129" t="s">
        <v>198</v>
      </c>
      <c r="B60" s="142">
        <v>1583</v>
      </c>
      <c r="C60" s="127">
        <f>(B60/B72)*100</f>
        <v>3.5436860603075817</v>
      </c>
      <c r="D60" s="142">
        <v>1583</v>
      </c>
      <c r="E60" s="127">
        <f>(D60/D72)*100</f>
        <v>3.641591902461468</v>
      </c>
      <c r="F60" s="142">
        <v>1583</v>
      </c>
      <c r="G60" s="127">
        <f>(F60/F72)*100</f>
        <v>3.7336666823906786</v>
      </c>
      <c r="H60" s="142">
        <v>1302</v>
      </c>
      <c r="I60" s="127">
        <f>(H60/H72)*100</f>
        <v>3.192193591095202</v>
      </c>
      <c r="J60" s="142">
        <v>1068</v>
      </c>
      <c r="K60" s="127">
        <f>(J60/J72)*100</f>
        <v>2.6958804523424877</v>
      </c>
    </row>
    <row r="61" spans="1:11" ht="15" customHeight="1">
      <c r="A61" s="129" t="s">
        <v>89</v>
      </c>
      <c r="B61" s="142">
        <v>1439</v>
      </c>
      <c r="C61" s="127">
        <f>(B61/B72)*100</f>
        <v>3.221329274025654</v>
      </c>
      <c r="D61" s="142">
        <v>1439</v>
      </c>
      <c r="E61" s="127">
        <f>(D61/D72)*100</f>
        <v>3.3103289625028753</v>
      </c>
      <c r="F61" s="142">
        <v>1439</v>
      </c>
      <c r="G61" s="127">
        <f>(F61/F72)*100</f>
        <v>3.3940280201896313</v>
      </c>
      <c r="H61" s="142">
        <v>1308</v>
      </c>
      <c r="I61" s="127">
        <f>(H61/H72)*100</f>
        <v>3.2069041606394193</v>
      </c>
      <c r="J61" s="142">
        <v>1270</v>
      </c>
      <c r="K61" s="127">
        <f>(J61/J72)*100</f>
        <v>3.205775444264943</v>
      </c>
    </row>
    <row r="62" spans="1:11" ht="15" customHeight="1">
      <c r="A62" s="129" t="s">
        <v>158</v>
      </c>
      <c r="B62" s="126">
        <v>345</v>
      </c>
      <c r="C62" s="127">
        <f>(B62/B72)*100</f>
        <v>0.7723131338004522</v>
      </c>
      <c r="D62" s="126">
        <v>345</v>
      </c>
      <c r="E62" s="127">
        <f>(D62/D72)*100</f>
        <v>0.7936507936507936</v>
      </c>
      <c r="F62" s="126">
        <v>345</v>
      </c>
      <c r="G62" s="127">
        <f>(F62/F72)*100</f>
        <v>0.8137176281900089</v>
      </c>
      <c r="H62" s="126">
        <v>345</v>
      </c>
      <c r="I62" s="127">
        <f>(H62/H72)*100</f>
        <v>0.8458577487925074</v>
      </c>
      <c r="J62" s="126">
        <v>307</v>
      </c>
      <c r="K62" s="127">
        <f>(J62/J72)*100</f>
        <v>0.7749394184168013</v>
      </c>
    </row>
    <row r="63" spans="1:11" ht="15" customHeight="1">
      <c r="A63" s="129" t="s">
        <v>94</v>
      </c>
      <c r="B63" s="142">
        <v>340</v>
      </c>
      <c r="C63" s="127">
        <f>(B63/B72)*100</f>
        <v>0.7611201898323298</v>
      </c>
      <c r="D63" s="142">
        <v>340</v>
      </c>
      <c r="E63" s="127">
        <f>(D63/D72)*100</f>
        <v>0.7821486082355648</v>
      </c>
      <c r="F63" s="142">
        <v>340</v>
      </c>
      <c r="G63" s="127">
        <f>(F63/F72)*100</f>
        <v>0.8019246190858059</v>
      </c>
      <c r="H63" s="142">
        <v>340</v>
      </c>
      <c r="I63" s="127">
        <f>(H63/H72)*100</f>
        <v>0.8335989408389928</v>
      </c>
      <c r="J63" s="142">
        <v>320</v>
      </c>
      <c r="K63" s="127">
        <f>(J63/J72)*100</f>
        <v>0.8077544426494345</v>
      </c>
    </row>
    <row r="64" spans="1:11" ht="15" customHeight="1">
      <c r="A64" s="125" t="s">
        <v>99</v>
      </c>
      <c r="B64" s="142">
        <v>317</v>
      </c>
      <c r="C64" s="127">
        <f>(B64/B72)*100</f>
        <v>0.7096326475789662</v>
      </c>
      <c r="D64" s="142">
        <v>317</v>
      </c>
      <c r="E64" s="127">
        <f>(D64/D72)*100</f>
        <v>0.7292385553255119</v>
      </c>
      <c r="F64" s="142">
        <v>317</v>
      </c>
      <c r="G64" s="127">
        <f>(F64/F72)*100</f>
        <v>0.747676777206472</v>
      </c>
      <c r="H64" s="142">
        <v>317</v>
      </c>
      <c r="I64" s="127">
        <f>(H64/H72)*100</f>
        <v>0.7772084242528257</v>
      </c>
      <c r="J64" s="142">
        <v>317</v>
      </c>
      <c r="K64" s="127">
        <f>(J64/J72)*100</f>
        <v>0.8001817447495961</v>
      </c>
    </row>
    <row r="65" spans="1:11" ht="15" customHeight="1">
      <c r="A65" s="125" t="s">
        <v>137</v>
      </c>
      <c r="B65" s="142">
        <v>275</v>
      </c>
      <c r="C65" s="127">
        <f>(B65/B72)*100</f>
        <v>0.6156119182467372</v>
      </c>
      <c r="D65" s="142">
        <v>275</v>
      </c>
      <c r="E65" s="127">
        <f>(D65/D72)*100</f>
        <v>0.6326201978375892</v>
      </c>
      <c r="F65" s="142">
        <v>271</v>
      </c>
      <c r="G65" s="127">
        <f>(F65/F72)*100</f>
        <v>0.6391810934478042</v>
      </c>
      <c r="H65" s="142">
        <v>275</v>
      </c>
      <c r="I65" s="127">
        <f>(H65/H72)*100</f>
        <v>0.674234437443303</v>
      </c>
      <c r="J65" s="142">
        <v>232</v>
      </c>
      <c r="K65" s="127">
        <f>(J65/J72)*100</f>
        <v>0.58562197092084</v>
      </c>
    </row>
    <row r="66" spans="1:11" ht="15" customHeight="1">
      <c r="A66" s="125" t="s">
        <v>282</v>
      </c>
      <c r="B66" s="142">
        <v>251</v>
      </c>
      <c r="C66" s="127">
        <f>(B66/B72)*100</f>
        <v>0.5618857871997494</v>
      </c>
      <c r="D66" s="142">
        <v>251</v>
      </c>
      <c r="E66" s="127">
        <f>(D66/D72)*100</f>
        <v>0.5774097078444905</v>
      </c>
      <c r="F66" s="142">
        <v>270</v>
      </c>
      <c r="G66" s="127">
        <f>(F66/F72)*100</f>
        <v>0.6368224916269636</v>
      </c>
      <c r="H66" s="142">
        <v>282</v>
      </c>
      <c r="I66" s="127">
        <f>(H66/H72)*100</f>
        <v>0.6913967685782235</v>
      </c>
      <c r="J66" s="142">
        <v>229</v>
      </c>
      <c r="K66" s="127">
        <f>(J66/J72)*100</f>
        <v>0.5780492730210016</v>
      </c>
    </row>
    <row r="67" spans="1:11" ht="15" customHeight="1">
      <c r="A67" s="125" t="s">
        <v>101</v>
      </c>
      <c r="B67" s="142">
        <v>250</v>
      </c>
      <c r="C67" s="127">
        <f>(B67/B72)*100</f>
        <v>0.5596471984061248</v>
      </c>
      <c r="D67" s="142">
        <v>250</v>
      </c>
      <c r="E67" s="127">
        <f>(D67/D72)*100</f>
        <v>0.5751092707614447</v>
      </c>
      <c r="F67" s="142">
        <v>250</v>
      </c>
      <c r="G67" s="127">
        <f>(F67/F72)*100</f>
        <v>0.5896504552101514</v>
      </c>
      <c r="H67" s="142">
        <v>250</v>
      </c>
      <c r="I67" s="127">
        <f>(H67/H72)*100</f>
        <v>0.61294039767573</v>
      </c>
      <c r="J67" s="142">
        <v>250</v>
      </c>
      <c r="K67" s="127">
        <f>(J67/J72)*100</f>
        <v>0.6310581583198707</v>
      </c>
    </row>
    <row r="68" spans="1:11" ht="15" customHeight="1">
      <c r="A68" s="129" t="s">
        <v>138</v>
      </c>
      <c r="B68" s="142">
        <v>204</v>
      </c>
      <c r="C68" s="127">
        <f>(B68/B72)*100</f>
        <v>0.45667211389939777</v>
      </c>
      <c r="D68" s="142">
        <v>204</v>
      </c>
      <c r="E68" s="127">
        <f>(D68/D72)*100</f>
        <v>0.4692891649413389</v>
      </c>
      <c r="F68" s="142">
        <v>202</v>
      </c>
      <c r="G68" s="127">
        <f>(F68/F72)*100</f>
        <v>0.47643756780980234</v>
      </c>
      <c r="H68" s="142">
        <v>199</v>
      </c>
      <c r="I68" s="127">
        <f>(H68/H72)*100</f>
        <v>0.48790055654988107</v>
      </c>
      <c r="J68" s="142">
        <v>197</v>
      </c>
      <c r="K68" s="127">
        <f>(J68/J72)*100</f>
        <v>0.49727382875605813</v>
      </c>
    </row>
    <row r="69" spans="1:11" ht="15" customHeight="1">
      <c r="A69" s="125" t="s">
        <v>280</v>
      </c>
      <c r="B69" s="142">
        <v>140</v>
      </c>
      <c r="C69" s="127">
        <f>(B69/B72)*100</f>
        <v>0.3134024311074299</v>
      </c>
      <c r="D69" s="142">
        <v>140</v>
      </c>
      <c r="E69" s="127">
        <f>(D69/D72)*100</f>
        <v>0.322061191626409</v>
      </c>
      <c r="F69" s="142">
        <v>140</v>
      </c>
      <c r="G69" s="127">
        <f>(F69/F72)*100</f>
        <v>0.3302042549176848</v>
      </c>
      <c r="H69" s="142">
        <v>140</v>
      </c>
      <c r="I69" s="127">
        <f>(H69/H72)*100</f>
        <v>0.34324662269840883</v>
      </c>
      <c r="J69" s="142">
        <v>140</v>
      </c>
      <c r="K69" s="127">
        <f>(J69/J72)*100</f>
        <v>0.3533925686591276</v>
      </c>
    </row>
    <row r="70" spans="1:11" ht="15" customHeight="1" hidden="1">
      <c r="A70" s="129"/>
      <c r="B70" s="142">
        <f>SUM(B55:B69)</f>
        <v>36467</v>
      </c>
      <c r="C70" s="127"/>
      <c r="D70" s="142">
        <f>SUM(D55:D69)</f>
        <v>36712</v>
      </c>
      <c r="E70" s="127"/>
      <c r="F70" s="142">
        <f>SUM(F55:F69)</f>
        <v>35776</v>
      </c>
      <c r="G70" s="127"/>
      <c r="H70" s="142">
        <f>SUM(H55:H69)</f>
        <v>34439.83</v>
      </c>
      <c r="I70" s="127"/>
      <c r="J70" s="142">
        <f>SUM(J55:J69)</f>
        <v>32946.9</v>
      </c>
      <c r="K70" s="127"/>
    </row>
    <row r="71" spans="1:11" ht="15" customHeight="1">
      <c r="A71" s="133" t="s">
        <v>93</v>
      </c>
      <c r="B71" s="131">
        <f>B72-B70</f>
        <v>8204</v>
      </c>
      <c r="C71" s="130">
        <f>(B71/B72)*100</f>
        <v>18.36538246289539</v>
      </c>
      <c r="D71" s="131">
        <f>D72-D70</f>
        <v>6758</v>
      </c>
      <c r="E71" s="130">
        <f>(D71/D72)*100</f>
        <v>15.546353807223372</v>
      </c>
      <c r="F71" s="131">
        <f>F72-F70</f>
        <v>6622</v>
      </c>
      <c r="G71" s="130">
        <f>(F71/F72)*100</f>
        <v>15.618661257606492</v>
      </c>
      <c r="H71" s="131">
        <f>H72-H70</f>
        <v>6347.169999999998</v>
      </c>
      <c r="I71" s="130">
        <f>(H71/H72)*100</f>
        <v>15.56174761566185</v>
      </c>
      <c r="J71" s="131">
        <f>J72-J70</f>
        <v>6669.0999999999985</v>
      </c>
      <c r="K71" s="130">
        <f>(J71/J72)*100</f>
        <v>16.834359854604198</v>
      </c>
    </row>
    <row r="72" spans="1:11" ht="18" customHeight="1">
      <c r="A72" s="370" t="s">
        <v>2</v>
      </c>
      <c r="B72" s="367">
        <v>44671</v>
      </c>
      <c r="C72" s="368">
        <f>SUM(C55:C71)</f>
        <v>100</v>
      </c>
      <c r="D72" s="367">
        <v>43470</v>
      </c>
      <c r="E72" s="368">
        <f>SUM(E55:E71)</f>
        <v>100.00000000000001</v>
      </c>
      <c r="F72" s="367">
        <v>42398</v>
      </c>
      <c r="G72" s="368">
        <f>SUM(G55:G71)</f>
        <v>100</v>
      </c>
      <c r="H72" s="367">
        <v>40787</v>
      </c>
      <c r="I72" s="368">
        <f>SUM(I55:I71)</f>
        <v>100</v>
      </c>
      <c r="J72" s="367">
        <v>39616</v>
      </c>
      <c r="K72" s="368">
        <f>SUM(K55:K71)</f>
        <v>100.00000000000004</v>
      </c>
    </row>
    <row r="73" spans="1:5" ht="15" customHeight="1">
      <c r="A73" s="267" t="s">
        <v>143</v>
      </c>
      <c r="B73" s="120"/>
      <c r="C73" s="120"/>
      <c r="D73" s="36"/>
      <c r="E73" s="36"/>
    </row>
    <row r="74" spans="1:11" ht="12.75" customHeight="1">
      <c r="A74" s="230"/>
      <c r="B74"/>
      <c r="C74"/>
      <c r="D74" s="3"/>
      <c r="E74" s="3"/>
      <c r="F74" s="113"/>
      <c r="G74" s="113"/>
      <c r="H74" s="113"/>
      <c r="I74" s="113"/>
      <c r="J74" s="113"/>
      <c r="K74" s="113"/>
    </row>
    <row r="75" spans="1:11" ht="15">
      <c r="A75"/>
      <c r="B75"/>
      <c r="C75"/>
      <c r="D75" s="47"/>
      <c r="E75" s="113"/>
      <c r="F75" s="113"/>
      <c r="G75" s="113"/>
      <c r="H75" s="113"/>
      <c r="I75" s="113"/>
      <c r="J75" s="113"/>
      <c r="K75" s="113"/>
    </row>
    <row r="76" spans="1:4" ht="15">
      <c r="A76"/>
      <c r="B76"/>
      <c r="C76"/>
      <c r="D76" s="113"/>
    </row>
  </sheetData>
  <mergeCells count="16">
    <mergeCell ref="A29:K29"/>
    <mergeCell ref="A30:A31"/>
    <mergeCell ref="D30:E30"/>
    <mergeCell ref="B30:C30"/>
    <mergeCell ref="A7:A8"/>
    <mergeCell ref="D7:E7"/>
    <mergeCell ref="B7:C7"/>
    <mergeCell ref="A1:K1"/>
    <mergeCell ref="A2:K2"/>
    <mergeCell ref="A4:K4"/>
    <mergeCell ref="A6:K6"/>
    <mergeCell ref="A3:K3"/>
    <mergeCell ref="B53:C53"/>
    <mergeCell ref="D53:E53"/>
    <mergeCell ref="A52:K52"/>
    <mergeCell ref="A53:A54"/>
  </mergeCells>
  <printOptions horizontalCentered="1"/>
  <pageMargins left="0.11811023622047245" right="0.11811023622047245" top="0.1968503937007874" bottom="0.1968503937007874" header="0.31496062992125984" footer="0.3937007874015748"/>
  <pageSetup horizontalDpi="300" verticalDpi="300" orientation="portrait" paperSize="9" scale="78" r:id="rId1"/>
  <ignoredErrors>
    <ignoredError sqref="C25 B56:B71 D50:D52 D24:D25 H23:H25 C27:C30 A47:A50 B50:B52 H47:H48 K23:K29 C49:C71 D54:K71 B9 J27:J29 F23:F25 I23:I29 H27:H29 J23:J25 G23:G29 F27:F29 E23:E29 D8:D9 C17:C20 D27:D29 B54 F8:F10 J8:J13 H8:H13 F13 D14 A15 B27:B29 E47:E52 H50:H52 F50:F52 J50:J52 G47:G52 F47:F48 I47:I52 K47:K52 J47:J48 A53:A71 E17:G20 I17:K20 A17:A20 H18:H20 A22:A27 E22:K22 C22:C23 D31:K31 A30:A31 B47:D48 K15 F15 I15 J15 G15 E15 C15 C9:C14 E8:E14 G8:G14 I8:I14 K8:K14 A7:A14 H15" formula="1"/>
    <ignoredError sqref="D7:K7 C7 C24 C26 B31 C31 B24:B25 B8 C8 D53:K53 D30:K30" numberStoredAsText="1" formula="1"/>
    <ignoredError sqref="B7 B30 B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SheetLayoutView="75" workbookViewId="0" topLeftCell="A40">
      <selection activeCell="A48" sqref="A48"/>
    </sheetView>
  </sheetViews>
  <sheetFormatPr defaultColWidth="9.140625" defaultRowHeight="12.75"/>
  <cols>
    <col min="1" max="1" width="115.28125" style="21" customWidth="1"/>
    <col min="2" max="2" width="2.421875" style="21" hidden="1" customWidth="1"/>
    <col min="3" max="16384" width="9.140625" style="21" customWidth="1"/>
  </cols>
  <sheetData>
    <row r="1" spans="1:2" ht="19.5" customHeight="1">
      <c r="A1" s="227" t="s">
        <v>77</v>
      </c>
      <c r="B1" s="228"/>
    </row>
    <row r="2" spans="1:2" ht="19.5" customHeight="1">
      <c r="A2" s="432" t="s">
        <v>129</v>
      </c>
      <c r="B2" s="432"/>
    </row>
    <row r="3" spans="1:2" ht="19.5" customHeight="1">
      <c r="A3" s="227" t="s">
        <v>132</v>
      </c>
      <c r="B3" s="228"/>
    </row>
    <row r="4" spans="1:2" ht="19.5" customHeight="1">
      <c r="A4" s="290"/>
      <c r="B4" s="22"/>
    </row>
    <row r="5" spans="1:2" ht="19.5" customHeight="1">
      <c r="A5" s="290"/>
      <c r="B5" s="22"/>
    </row>
    <row r="6" spans="1:2" s="25" customFormat="1" ht="19.5" customHeight="1">
      <c r="A6" s="23" t="s">
        <v>314</v>
      </c>
      <c r="B6" s="235"/>
    </row>
    <row r="7" spans="1:2" s="25" customFormat="1" ht="19.5" customHeight="1">
      <c r="A7" s="23" t="s">
        <v>275</v>
      </c>
      <c r="B7" s="235"/>
    </row>
    <row r="8" spans="1:2" s="25" customFormat="1" ht="19.5" customHeight="1">
      <c r="A8" s="23" t="s">
        <v>316</v>
      </c>
      <c r="B8" s="236"/>
    </row>
    <row r="9" spans="1:2" s="25" customFormat="1" ht="19.5" customHeight="1">
      <c r="A9" s="23" t="s">
        <v>401</v>
      </c>
      <c r="B9" s="236"/>
    </row>
    <row r="10" spans="1:2" s="25" customFormat="1" ht="19.5" customHeight="1">
      <c r="A10" s="23"/>
      <c r="B10" s="235"/>
    </row>
    <row r="11" spans="1:2" s="25" customFormat="1" ht="19.5" customHeight="1">
      <c r="A11" s="23"/>
      <c r="B11" s="235"/>
    </row>
    <row r="12" spans="1:2" s="25" customFormat="1" ht="19.5" customHeight="1">
      <c r="A12" s="23"/>
      <c r="B12" s="235"/>
    </row>
    <row r="13" spans="1:2" s="25" customFormat="1" ht="19.5" customHeight="1">
      <c r="A13" s="23"/>
      <c r="B13" s="236"/>
    </row>
    <row r="14" spans="1:2" s="25" customFormat="1" ht="19.5" customHeight="1">
      <c r="A14" s="23"/>
      <c r="B14" s="236"/>
    </row>
    <row r="15" spans="1:2" s="25" customFormat="1" ht="19.5" customHeight="1">
      <c r="A15" s="23"/>
      <c r="B15" s="236"/>
    </row>
    <row r="16" spans="1:2" s="25" customFormat="1" ht="19.5" customHeight="1">
      <c r="A16" s="23"/>
      <c r="B16" s="235"/>
    </row>
    <row r="17" spans="1:2" s="25" customFormat="1" ht="19.5" customHeight="1">
      <c r="A17" s="433" t="s">
        <v>76</v>
      </c>
      <c r="B17" s="237"/>
    </row>
    <row r="18" spans="1:2" s="25" customFormat="1" ht="19.5" customHeight="1">
      <c r="A18" s="433"/>
      <c r="B18" s="237"/>
    </row>
    <row r="19" spans="1:2" s="25" customFormat="1" ht="19.5" customHeight="1">
      <c r="A19" s="26" t="s">
        <v>139</v>
      </c>
      <c r="B19" s="238"/>
    </row>
    <row r="20" spans="1:2" s="25" customFormat="1" ht="19.5" customHeight="1">
      <c r="A20" s="26"/>
      <c r="B20" s="238"/>
    </row>
    <row r="21" spans="1:2" s="25" customFormat="1" ht="19.5" customHeight="1">
      <c r="A21" s="23"/>
      <c r="B21" s="238"/>
    </row>
    <row r="22" spans="1:2" s="25" customFormat="1" ht="19.5" customHeight="1">
      <c r="A22" s="26" t="s">
        <v>78</v>
      </c>
      <c r="B22" s="238"/>
    </row>
    <row r="23" spans="1:2" s="25" customFormat="1" ht="19.5" customHeight="1">
      <c r="A23" s="23"/>
      <c r="B23" s="238"/>
    </row>
    <row r="24" spans="1:2" s="25" customFormat="1" ht="19.5" customHeight="1">
      <c r="A24" s="234" t="s">
        <v>206</v>
      </c>
      <c r="B24" s="238"/>
    </row>
    <row r="25" spans="1:2" s="25" customFormat="1" ht="19.5" customHeight="1">
      <c r="A25" s="234"/>
      <c r="B25" s="238"/>
    </row>
    <row r="26" spans="1:2" s="25" customFormat="1" ht="19.5" customHeight="1">
      <c r="A26" s="234" t="s">
        <v>220</v>
      </c>
      <c r="B26" s="238"/>
    </row>
    <row r="27" spans="1:2" s="25" customFormat="1" ht="19.5" customHeight="1">
      <c r="A27" s="234" t="s">
        <v>205</v>
      </c>
      <c r="B27" s="238"/>
    </row>
    <row r="28" spans="1:2" s="25" customFormat="1" ht="19.5" customHeight="1">
      <c r="A28" s="234" t="s">
        <v>207</v>
      </c>
      <c r="B28" s="238"/>
    </row>
    <row r="29" spans="1:2" s="25" customFormat="1" ht="19.5" customHeight="1">
      <c r="A29" s="23" t="s">
        <v>159</v>
      </c>
      <c r="B29" s="238"/>
    </row>
    <row r="30" spans="1:2" s="25" customFormat="1" ht="19.5" customHeight="1">
      <c r="A30" s="23" t="s">
        <v>204</v>
      </c>
      <c r="B30" s="238"/>
    </row>
    <row r="31" spans="1:2" s="25" customFormat="1" ht="19.5" customHeight="1">
      <c r="A31" s="23" t="s">
        <v>160</v>
      </c>
      <c r="B31" s="238"/>
    </row>
    <row r="32" spans="1:2" s="25" customFormat="1" ht="19.5" customHeight="1">
      <c r="A32" s="23" t="s">
        <v>79</v>
      </c>
      <c r="B32" s="238"/>
    </row>
    <row r="33" spans="1:2" s="25" customFormat="1" ht="19.5" customHeight="1">
      <c r="A33" s="23"/>
      <c r="B33" s="238"/>
    </row>
    <row r="34" spans="1:2" s="25" customFormat="1" ht="19.5" customHeight="1">
      <c r="A34" s="23"/>
      <c r="B34" s="238"/>
    </row>
    <row r="35" spans="1:2" s="25" customFormat="1" ht="19.5" customHeight="1">
      <c r="A35" s="23"/>
      <c r="B35" s="238"/>
    </row>
    <row r="36" spans="1:2" s="25" customFormat="1" ht="19.5" customHeight="1">
      <c r="A36" s="239" t="s">
        <v>197</v>
      </c>
      <c r="B36" s="238"/>
    </row>
    <row r="37" spans="1:2" s="25" customFormat="1" ht="19.5" customHeight="1">
      <c r="A37" s="239" t="s">
        <v>140</v>
      </c>
      <c r="B37" s="238"/>
    </row>
    <row r="38" spans="1:2" s="25" customFormat="1" ht="19.5" customHeight="1">
      <c r="A38" s="239" t="s">
        <v>166</v>
      </c>
      <c r="B38" s="238"/>
    </row>
    <row r="39" spans="1:2" s="25" customFormat="1" ht="19.5" customHeight="1">
      <c r="A39" s="239" t="s">
        <v>269</v>
      </c>
      <c r="B39" s="238"/>
    </row>
    <row r="40" spans="1:2" s="25" customFormat="1" ht="19.5" customHeight="1">
      <c r="A40" s="239" t="s">
        <v>165</v>
      </c>
      <c r="B40" s="238"/>
    </row>
    <row r="41" spans="1:2" s="25" customFormat="1" ht="19.5" customHeight="1">
      <c r="A41" s="373" t="s">
        <v>330</v>
      </c>
      <c r="B41" s="238"/>
    </row>
    <row r="42" spans="1:2" s="25" customFormat="1" ht="19.5" customHeight="1">
      <c r="A42" s="239" t="s">
        <v>285</v>
      </c>
      <c r="B42" s="238"/>
    </row>
    <row r="43" spans="1:2" s="25" customFormat="1" ht="19.5" customHeight="1">
      <c r="A43" s="239"/>
      <c r="B43" s="238"/>
    </row>
    <row r="44" spans="1:2" s="25" customFormat="1" ht="19.5" customHeight="1">
      <c r="A44" s="239"/>
      <c r="B44" s="238"/>
    </row>
    <row r="45" spans="1:2" s="25" customFormat="1" ht="19.5" customHeight="1">
      <c r="A45" s="239"/>
      <c r="B45" s="238"/>
    </row>
    <row r="46" spans="1:2" s="25" customFormat="1" ht="19.5" customHeight="1">
      <c r="A46" s="239"/>
      <c r="B46" s="238"/>
    </row>
    <row r="47" ht="19.5" customHeight="1"/>
    <row r="48" spans="1:2" s="25" customFormat="1" ht="19.5" customHeight="1">
      <c r="A48" s="30" t="s">
        <v>80</v>
      </c>
      <c r="B48" s="28"/>
    </row>
    <row r="49" spans="1:2" s="25" customFormat="1" ht="19.5" customHeight="1">
      <c r="A49" s="431"/>
      <c r="B49" s="431"/>
    </row>
    <row r="50" spans="1:2" s="25" customFormat="1" ht="19.5" customHeight="1">
      <c r="A50" s="29" t="s">
        <v>325</v>
      </c>
      <c r="B50" s="24"/>
    </row>
    <row r="51" spans="1:2" s="25" customFormat="1" ht="19.5" customHeight="1">
      <c r="A51" s="29" t="s">
        <v>399</v>
      </c>
      <c r="B51" s="24"/>
    </row>
    <row r="52" spans="1:2" s="25" customFormat="1" ht="19.5" customHeight="1">
      <c r="A52" s="29" t="s">
        <v>311</v>
      </c>
      <c r="B52" s="24"/>
    </row>
    <row r="53" spans="1:2" s="25" customFormat="1" ht="19.5" customHeight="1">
      <c r="A53" s="29" t="s">
        <v>238</v>
      </c>
      <c r="B53" s="24"/>
    </row>
    <row r="54" spans="1:2" s="25" customFormat="1" ht="19.5" customHeight="1">
      <c r="A54" s="248" t="s">
        <v>231</v>
      </c>
      <c r="B54" s="24"/>
    </row>
    <row r="55" spans="1:2" s="25" customFormat="1" ht="19.5" customHeight="1">
      <c r="A55" s="29" t="s">
        <v>332</v>
      </c>
      <c r="B55" s="24"/>
    </row>
    <row r="56" spans="1:2" ht="19.5" customHeight="1">
      <c r="A56" s="29" t="s">
        <v>146</v>
      </c>
      <c r="B56" s="27"/>
    </row>
    <row r="57" spans="1:2" ht="19.5" customHeight="1">
      <c r="A57" s="29" t="s">
        <v>84</v>
      </c>
      <c r="B57" s="27"/>
    </row>
    <row r="58" spans="1:2" ht="19.5" customHeight="1">
      <c r="A58" s="29" t="s">
        <v>161</v>
      </c>
      <c r="B58" s="27"/>
    </row>
    <row r="59" spans="1:2" ht="19.5" customHeight="1">
      <c r="A59" s="29" t="s">
        <v>222</v>
      </c>
      <c r="B59" s="27"/>
    </row>
    <row r="60" spans="1:2" ht="19.5" customHeight="1">
      <c r="A60" s="29" t="s">
        <v>223</v>
      </c>
      <c r="B60" s="27"/>
    </row>
    <row r="61" spans="1:2" ht="19.5" customHeight="1">
      <c r="A61" s="29" t="s">
        <v>333</v>
      </c>
      <c r="B61" s="27"/>
    </row>
    <row r="62" spans="1:2" ht="19.5" customHeight="1">
      <c r="A62" s="29" t="s">
        <v>292</v>
      </c>
      <c r="B62" s="27"/>
    </row>
    <row r="63" spans="1:2" ht="19.5" customHeight="1">
      <c r="A63" s="29" t="s">
        <v>291</v>
      </c>
      <c r="B63" s="27"/>
    </row>
    <row r="64" spans="1:2" ht="19.5" customHeight="1">
      <c r="A64" s="31" t="s">
        <v>225</v>
      </c>
      <c r="B64" s="27"/>
    </row>
    <row r="65" spans="1:2" ht="15">
      <c r="A65" s="291"/>
      <c r="B65" s="27"/>
    </row>
    <row r="66" spans="1:2" ht="15">
      <c r="A66" s="291"/>
      <c r="B66" s="27"/>
    </row>
  </sheetData>
  <mergeCells count="3">
    <mergeCell ref="A49:B49"/>
    <mergeCell ref="A2:B2"/>
    <mergeCell ref="A17:A18"/>
  </mergeCells>
  <hyperlinks>
    <hyperlink ref="A41" r:id="rId1" display="http://www.agricultura.gov.br/vegetal/estatisticas"/>
  </hyperlinks>
  <printOptions horizontalCentered="1"/>
  <pageMargins left="0.3937007874015748" right="0.3937007874015748" top="0.7874015748031497" bottom="0.5905511811023623" header="0.35433070866141736" footer="0.5118110236220472"/>
  <pageSetup horizontalDpi="1200" verticalDpi="12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="90" zoomScaleNormal="90" workbookViewId="0" topLeftCell="A10">
      <selection activeCell="S10" sqref="S10:S11"/>
    </sheetView>
  </sheetViews>
  <sheetFormatPr defaultColWidth="9.140625" defaultRowHeight="12.75"/>
  <cols>
    <col min="1" max="1" width="71.7109375" style="0" customWidth="1"/>
    <col min="2" max="5" width="11.28125" style="0" hidden="1" customWidth="1"/>
    <col min="6" max="6" width="10.7109375" style="0" hidden="1" customWidth="1"/>
    <col min="7" max="7" width="11.28125" style="0" hidden="1" customWidth="1"/>
    <col min="8" max="19" width="11.28125" style="0" customWidth="1"/>
  </cols>
  <sheetData>
    <row r="1" spans="1:7" ht="18.75" customHeight="1">
      <c r="A1" s="286" t="s">
        <v>77</v>
      </c>
      <c r="B1" s="144"/>
      <c r="C1" s="144"/>
      <c r="D1" s="144"/>
      <c r="E1" s="144"/>
      <c r="F1" s="144"/>
      <c r="G1" s="144"/>
    </row>
    <row r="2" spans="1:7" ht="18.75" customHeight="1">
      <c r="A2" s="286" t="s">
        <v>128</v>
      </c>
      <c r="B2" s="144"/>
      <c r="C2" s="144"/>
      <c r="D2" s="144"/>
      <c r="E2" s="144"/>
      <c r="F2" s="144"/>
      <c r="G2" s="144"/>
    </row>
    <row r="3" spans="1:7" ht="18.75" customHeight="1">
      <c r="A3" s="286" t="s">
        <v>144</v>
      </c>
      <c r="B3" s="144"/>
      <c r="C3" s="144"/>
      <c r="D3" s="144"/>
      <c r="E3" s="144"/>
      <c r="F3" s="144"/>
      <c r="G3" s="144"/>
    </row>
    <row r="4" spans="1:7" ht="15" customHeight="1">
      <c r="A4" s="144"/>
      <c r="B4" s="144"/>
      <c r="C4" s="144"/>
      <c r="D4" s="144"/>
      <c r="E4" s="144"/>
      <c r="F4" s="144"/>
      <c r="G4" s="144"/>
    </row>
    <row r="5" ht="14.25" customHeight="1"/>
    <row r="6" spans="1:19" ht="18.75" customHeight="1">
      <c r="A6" s="434" t="s">
        <v>148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</row>
    <row r="7" spans="1:19" ht="17.2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</row>
    <row r="8" spans="1:19" ht="17.25" customHeight="1">
      <c r="A8" s="456" t="s">
        <v>293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</row>
    <row r="9" spans="1:19" ht="1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</row>
    <row r="10" spans="1:19" ht="17.25" customHeight="1">
      <c r="A10" s="435" t="s">
        <v>199</v>
      </c>
      <c r="B10" s="435">
        <v>1997</v>
      </c>
      <c r="C10" s="435">
        <v>1998</v>
      </c>
      <c r="D10" s="435">
        <v>1999</v>
      </c>
      <c r="E10" s="435">
        <v>2000</v>
      </c>
      <c r="F10" s="435">
        <v>2001</v>
      </c>
      <c r="G10" s="435">
        <v>2002</v>
      </c>
      <c r="H10" s="435">
        <v>2003</v>
      </c>
      <c r="I10" s="435">
        <v>2004</v>
      </c>
      <c r="J10" s="435">
        <v>2005</v>
      </c>
      <c r="K10" s="435">
        <v>2006</v>
      </c>
      <c r="L10" s="435">
        <v>2007</v>
      </c>
      <c r="M10" s="435">
        <v>2008</v>
      </c>
      <c r="N10" s="435">
        <v>2009</v>
      </c>
      <c r="O10" s="435">
        <v>2010</v>
      </c>
      <c r="P10" s="435">
        <v>2011</v>
      </c>
      <c r="Q10" s="435">
        <v>2012</v>
      </c>
      <c r="R10" s="435">
        <v>2013</v>
      </c>
      <c r="S10" s="435" t="s">
        <v>317</v>
      </c>
    </row>
    <row r="11" spans="1:19" ht="16.5" customHeight="1">
      <c r="A11" s="436"/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</row>
    <row r="12" spans="1:19" ht="21.75" customHeight="1">
      <c r="A12" s="207" t="s">
        <v>201</v>
      </c>
      <c r="B12" s="225">
        <v>18.86</v>
      </c>
      <c r="C12" s="225">
        <v>33.95</v>
      </c>
      <c r="D12" s="225">
        <v>27.17</v>
      </c>
      <c r="E12" s="225">
        <v>31.1</v>
      </c>
      <c r="F12" s="225">
        <v>31.3</v>
      </c>
      <c r="G12" s="225">
        <v>48.48</v>
      </c>
      <c r="H12" s="225">
        <v>28.82</v>
      </c>
      <c r="I12" s="225">
        <v>39.272</v>
      </c>
      <c r="J12" s="226">
        <v>32.944</v>
      </c>
      <c r="K12" s="225">
        <v>42.512</v>
      </c>
      <c r="L12" s="225">
        <v>36.07</v>
      </c>
      <c r="M12" s="225">
        <v>45.992</v>
      </c>
      <c r="N12" s="225">
        <v>39.47</v>
      </c>
      <c r="O12" s="225">
        <v>48.095</v>
      </c>
      <c r="P12" s="225">
        <v>43.484</v>
      </c>
      <c r="Q12" s="225">
        <v>50.826</v>
      </c>
      <c r="R12" s="225">
        <v>49.152</v>
      </c>
      <c r="S12" s="225">
        <v>44.566</v>
      </c>
    </row>
    <row r="13" spans="1:19" ht="19.5" customHeight="1">
      <c r="A13" s="187" t="s">
        <v>174</v>
      </c>
      <c r="B13" s="211">
        <v>2.36</v>
      </c>
      <c r="C13" s="211">
        <v>2.36</v>
      </c>
      <c r="D13" s="211">
        <v>1.87</v>
      </c>
      <c r="E13" s="211">
        <v>1.98</v>
      </c>
      <c r="F13" s="211">
        <v>2.179</v>
      </c>
      <c r="G13" s="211">
        <v>2.31</v>
      </c>
      <c r="H13" s="211">
        <v>2.2</v>
      </c>
      <c r="I13" s="211">
        <v>2.21</v>
      </c>
      <c r="J13" s="212">
        <v>2.217</v>
      </c>
      <c r="K13" s="211">
        <v>2.152</v>
      </c>
      <c r="L13" s="211">
        <v>2.176</v>
      </c>
      <c r="M13" s="211">
        <v>2.169</v>
      </c>
      <c r="N13" s="211">
        <v>2.092</v>
      </c>
      <c r="O13" s="211">
        <v>2.076</v>
      </c>
      <c r="P13" s="211">
        <v>2.056</v>
      </c>
      <c r="Q13" s="211">
        <v>2.049</v>
      </c>
      <c r="R13" s="211">
        <v>2.016</v>
      </c>
      <c r="S13" s="211">
        <v>1.926</v>
      </c>
    </row>
    <row r="14" spans="1:19" ht="19.5" customHeight="1">
      <c r="A14" s="187" t="s">
        <v>152</v>
      </c>
      <c r="B14" s="213">
        <v>7.99</v>
      </c>
      <c r="C14" s="213">
        <v>14.39</v>
      </c>
      <c r="D14" s="213">
        <v>14.53</v>
      </c>
      <c r="E14" s="213">
        <v>15.7</v>
      </c>
      <c r="F14" s="213">
        <v>14.36</v>
      </c>
      <c r="G14" s="213">
        <v>20.98</v>
      </c>
      <c r="H14" s="213">
        <v>13.09</v>
      </c>
      <c r="I14" s="213">
        <v>17.75</v>
      </c>
      <c r="J14" s="214">
        <v>14.86</v>
      </c>
      <c r="K14" s="213">
        <v>19.75</v>
      </c>
      <c r="L14" s="213">
        <v>16.57</v>
      </c>
      <c r="M14" s="188">
        <v>21.2</v>
      </c>
      <c r="N14" s="213">
        <v>18.86</v>
      </c>
      <c r="O14" s="213">
        <v>23.16</v>
      </c>
      <c r="P14" s="213">
        <v>21.15</v>
      </c>
      <c r="Q14" s="213">
        <v>24.8</v>
      </c>
      <c r="R14" s="213">
        <v>24.38</v>
      </c>
      <c r="S14" s="213">
        <v>23.14</v>
      </c>
    </row>
    <row r="15" spans="1:19" ht="16.5" customHeight="1">
      <c r="A15" s="18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</row>
    <row r="16" spans="1:19" ht="21.75" customHeight="1">
      <c r="A16" s="193" t="s">
        <v>214</v>
      </c>
      <c r="B16" s="289"/>
      <c r="C16" s="240"/>
      <c r="D16" s="240"/>
      <c r="E16" s="240"/>
      <c r="F16" s="240"/>
      <c r="G16" s="240"/>
      <c r="H16" s="240"/>
      <c r="I16" s="240"/>
      <c r="J16" s="241"/>
      <c r="K16" s="240"/>
      <c r="L16" s="240"/>
      <c r="M16" s="240"/>
      <c r="N16" s="240"/>
      <c r="O16" s="240"/>
      <c r="P16" s="240"/>
      <c r="Q16" s="240"/>
      <c r="R16" s="240"/>
      <c r="S16" s="397" t="s">
        <v>329</v>
      </c>
    </row>
    <row r="17" spans="1:19" ht="19.5" customHeight="1">
      <c r="A17" s="195" t="s">
        <v>149</v>
      </c>
      <c r="B17" s="215">
        <v>16.742</v>
      </c>
      <c r="C17" s="215">
        <v>18.234</v>
      </c>
      <c r="D17" s="215">
        <v>23.445</v>
      </c>
      <c r="E17" s="215">
        <v>18.455</v>
      </c>
      <c r="F17" s="215">
        <v>23.727</v>
      </c>
      <c r="G17" s="215">
        <v>28.726</v>
      </c>
      <c r="H17" s="215">
        <v>25.969</v>
      </c>
      <c r="I17" s="215">
        <v>27.047</v>
      </c>
      <c r="J17" s="216">
        <v>26.431</v>
      </c>
      <c r="K17" s="215">
        <v>27.977</v>
      </c>
      <c r="L17" s="215">
        <v>28.398</v>
      </c>
      <c r="M17" s="215">
        <v>29.727</v>
      </c>
      <c r="N17" s="215">
        <v>30.481</v>
      </c>
      <c r="O17" s="215">
        <v>33.493</v>
      </c>
      <c r="P17" s="215">
        <v>33.61</v>
      </c>
      <c r="Q17" s="215">
        <v>28.735</v>
      </c>
      <c r="R17" s="215">
        <v>32.01</v>
      </c>
      <c r="S17" s="215">
        <v>23.814</v>
      </c>
    </row>
    <row r="18" spans="1:19" ht="19.5" customHeight="1">
      <c r="A18" s="196" t="s">
        <v>153</v>
      </c>
      <c r="B18" s="217">
        <v>3.097</v>
      </c>
      <c r="C18" s="217">
        <v>2.58</v>
      </c>
      <c r="D18" s="217">
        <v>2.463</v>
      </c>
      <c r="E18" s="217">
        <v>1.784</v>
      </c>
      <c r="F18" s="217">
        <v>1.417</v>
      </c>
      <c r="G18" s="217">
        <v>1.384</v>
      </c>
      <c r="H18" s="217">
        <v>1.546</v>
      </c>
      <c r="I18" s="217">
        <v>2.057</v>
      </c>
      <c r="J18" s="218">
        <v>2.928</v>
      </c>
      <c r="K18" s="217">
        <v>3.363</v>
      </c>
      <c r="L18" s="217">
        <v>3.891</v>
      </c>
      <c r="M18" s="217">
        <v>4.762</v>
      </c>
      <c r="N18" s="217">
        <v>4.279</v>
      </c>
      <c r="O18" s="217">
        <v>5.764</v>
      </c>
      <c r="P18" s="217">
        <v>8.733</v>
      </c>
      <c r="Q18" s="217">
        <v>6.462</v>
      </c>
      <c r="R18" s="217">
        <v>5.275</v>
      </c>
      <c r="S18" s="217">
        <v>4.061</v>
      </c>
    </row>
    <row r="19" spans="1:19" ht="19.5" customHeight="1">
      <c r="A19" s="187" t="s">
        <v>150</v>
      </c>
      <c r="B19" s="188">
        <v>185.02</v>
      </c>
      <c r="C19" s="188">
        <v>141.53</v>
      </c>
      <c r="D19" s="188">
        <v>105.08</v>
      </c>
      <c r="E19" s="188">
        <v>96.67</v>
      </c>
      <c r="F19" s="188">
        <v>59.72</v>
      </c>
      <c r="G19" s="188">
        <v>48.2</v>
      </c>
      <c r="H19" s="188">
        <v>59.55</v>
      </c>
      <c r="I19" s="229">
        <v>76.08</v>
      </c>
      <c r="J19" s="288">
        <v>110.8</v>
      </c>
      <c r="K19" s="229">
        <v>120.23</v>
      </c>
      <c r="L19" s="229">
        <v>137.03</v>
      </c>
      <c r="M19" s="229">
        <v>160.2</v>
      </c>
      <c r="N19" s="229">
        <v>140.38</v>
      </c>
      <c r="O19" s="229">
        <v>172.11</v>
      </c>
      <c r="P19" s="229">
        <v>259.83</v>
      </c>
      <c r="Q19" s="229">
        <v>224.9</v>
      </c>
      <c r="R19" s="229">
        <v>164.81</v>
      </c>
      <c r="S19" s="229">
        <v>170.52</v>
      </c>
    </row>
    <row r="20" spans="1:19" ht="17.25" customHeight="1">
      <c r="A20" s="198"/>
      <c r="B20" s="199"/>
      <c r="C20" s="199"/>
      <c r="D20" s="199"/>
      <c r="E20" s="199"/>
      <c r="F20" s="199"/>
      <c r="G20" s="199"/>
      <c r="H20" s="199"/>
      <c r="I20" s="199"/>
      <c r="J20" s="200"/>
      <c r="K20" s="199"/>
      <c r="L20" s="199"/>
      <c r="M20" s="199"/>
      <c r="N20" s="199"/>
      <c r="O20" s="199"/>
      <c r="P20" s="199"/>
      <c r="Q20" s="199"/>
      <c r="R20" s="199"/>
      <c r="S20" s="199"/>
    </row>
    <row r="21" spans="1:19" ht="21.75" customHeight="1">
      <c r="A21" s="201" t="s">
        <v>322</v>
      </c>
      <c r="B21" s="219">
        <v>11.5</v>
      </c>
      <c r="C21" s="219">
        <v>12.2</v>
      </c>
      <c r="D21" s="219">
        <v>12.7</v>
      </c>
      <c r="E21" s="219">
        <v>13.2</v>
      </c>
      <c r="F21" s="219">
        <v>13.64</v>
      </c>
      <c r="G21" s="219">
        <v>14</v>
      </c>
      <c r="H21" s="219">
        <v>13.7</v>
      </c>
      <c r="I21" s="219">
        <v>14.94</v>
      </c>
      <c r="J21" s="220">
        <v>15.54</v>
      </c>
      <c r="K21" s="219">
        <v>16.33</v>
      </c>
      <c r="L21" s="219">
        <v>17.12</v>
      </c>
      <c r="M21" s="219">
        <v>17.66</v>
      </c>
      <c r="N21" s="285">
        <v>18.389</v>
      </c>
      <c r="O21" s="285">
        <v>19.13</v>
      </c>
      <c r="P21" s="285">
        <v>19.72</v>
      </c>
      <c r="Q21" s="285">
        <v>20.33</v>
      </c>
      <c r="R21" s="285">
        <v>20.08</v>
      </c>
      <c r="S21" s="285" t="s">
        <v>318</v>
      </c>
    </row>
    <row r="22" spans="1:19" ht="19.5" customHeight="1">
      <c r="A22" s="187" t="s">
        <v>202</v>
      </c>
      <c r="B22" s="213">
        <v>4.3</v>
      </c>
      <c r="C22" s="213">
        <v>4.51</v>
      </c>
      <c r="D22" s="213">
        <v>4.67</v>
      </c>
      <c r="E22" s="213">
        <v>4.76</v>
      </c>
      <c r="F22" s="213">
        <v>4.88</v>
      </c>
      <c r="G22" s="213">
        <v>4.83</v>
      </c>
      <c r="H22" s="213">
        <v>4.65</v>
      </c>
      <c r="I22" s="213">
        <v>5.01</v>
      </c>
      <c r="J22" s="214">
        <v>5.14</v>
      </c>
      <c r="K22" s="213">
        <v>5.34</v>
      </c>
      <c r="L22" s="213">
        <v>5.53</v>
      </c>
      <c r="M22" s="213">
        <v>5.64</v>
      </c>
      <c r="N22" s="213">
        <v>5.81</v>
      </c>
      <c r="O22" s="213">
        <v>6.02</v>
      </c>
      <c r="P22" s="213">
        <v>6.1</v>
      </c>
      <c r="Q22" s="213">
        <v>6.23</v>
      </c>
      <c r="R22" s="213">
        <v>6.43</v>
      </c>
      <c r="S22" s="213">
        <v>6.43</v>
      </c>
    </row>
    <row r="23" spans="1:19" ht="16.5" customHeight="1">
      <c r="A23" s="186"/>
      <c r="B23" s="190"/>
      <c r="C23" s="190"/>
      <c r="D23" s="190"/>
      <c r="E23" s="190"/>
      <c r="F23" s="190"/>
      <c r="G23" s="190"/>
      <c r="H23" s="190"/>
      <c r="I23" s="190"/>
      <c r="J23" s="191"/>
      <c r="K23" s="190"/>
      <c r="L23" s="190"/>
      <c r="M23" s="190"/>
      <c r="N23" s="190"/>
      <c r="O23" s="190"/>
      <c r="P23" s="190"/>
      <c r="Q23" s="190"/>
      <c r="R23" s="190"/>
      <c r="S23" s="190"/>
    </row>
    <row r="24" spans="1:19" ht="21.75" customHeight="1">
      <c r="A24" s="193" t="s">
        <v>331</v>
      </c>
      <c r="B24" s="222">
        <v>11.47</v>
      </c>
      <c r="C24" s="221">
        <v>9.41</v>
      </c>
      <c r="D24" s="221">
        <v>7.56</v>
      </c>
      <c r="E24" s="336">
        <v>6.08</v>
      </c>
      <c r="F24" s="336">
        <v>5.569</v>
      </c>
      <c r="G24" s="336">
        <v>5.376</v>
      </c>
      <c r="H24" s="336">
        <v>5.414</v>
      </c>
      <c r="I24" s="336">
        <v>13.25</v>
      </c>
      <c r="J24" s="337">
        <v>15.417</v>
      </c>
      <c r="K24" s="336">
        <v>11.855</v>
      </c>
      <c r="L24" s="336">
        <v>18.47</v>
      </c>
      <c r="M24" s="336">
        <v>13.202</v>
      </c>
      <c r="N24" s="336">
        <v>15.766</v>
      </c>
      <c r="O24" s="336">
        <v>11.098</v>
      </c>
      <c r="P24" s="336">
        <v>11.34</v>
      </c>
      <c r="Q24" s="336">
        <v>10.063</v>
      </c>
      <c r="R24" s="336">
        <v>15.591</v>
      </c>
      <c r="S24" s="336">
        <v>16.871</v>
      </c>
    </row>
    <row r="25" spans="1:19" ht="17.25" customHeight="1">
      <c r="A25" s="186"/>
      <c r="B25" s="190"/>
      <c r="C25" s="190"/>
      <c r="D25" s="190"/>
      <c r="E25" s="190"/>
      <c r="F25" s="190"/>
      <c r="G25" s="190"/>
      <c r="H25" s="190"/>
      <c r="I25" s="190"/>
      <c r="J25" s="191"/>
      <c r="K25" s="190"/>
      <c r="L25" s="190"/>
      <c r="M25" s="190"/>
      <c r="N25" s="190"/>
      <c r="O25" s="190"/>
      <c r="P25" s="190"/>
      <c r="Q25" s="190"/>
      <c r="R25" s="190"/>
      <c r="S25" s="190"/>
    </row>
    <row r="26" spans="1:19" ht="21.75" customHeight="1">
      <c r="A26" s="242" t="s">
        <v>171</v>
      </c>
      <c r="B26" s="194">
        <v>682</v>
      </c>
      <c r="C26" s="194">
        <v>596</v>
      </c>
      <c r="D26" s="194">
        <v>688</v>
      </c>
      <c r="E26" s="194">
        <v>746</v>
      </c>
      <c r="F26" s="194">
        <v>898</v>
      </c>
      <c r="G26" s="194">
        <v>824</v>
      </c>
      <c r="H26" s="202">
        <v>550</v>
      </c>
      <c r="I26" s="203">
        <v>1226</v>
      </c>
      <c r="J26" s="203">
        <v>1282</v>
      </c>
      <c r="K26" s="204">
        <v>1680</v>
      </c>
      <c r="L26" s="204">
        <v>2147</v>
      </c>
      <c r="M26" s="204">
        <v>2561</v>
      </c>
      <c r="N26" s="204">
        <v>2843</v>
      </c>
      <c r="O26" s="204">
        <v>2846</v>
      </c>
      <c r="P26" s="204">
        <v>2714</v>
      </c>
      <c r="Q26" s="204">
        <v>2894</v>
      </c>
      <c r="R26" s="204">
        <v>3357</v>
      </c>
      <c r="S26" s="204">
        <v>4008</v>
      </c>
    </row>
    <row r="27" spans="1:19" ht="19.5" customHeight="1">
      <c r="A27" s="187" t="s">
        <v>169</v>
      </c>
      <c r="B27" s="243">
        <v>412</v>
      </c>
      <c r="C27" s="243">
        <v>384</v>
      </c>
      <c r="D27" s="243">
        <v>496</v>
      </c>
      <c r="E27" s="243">
        <v>718</v>
      </c>
      <c r="F27" s="243">
        <v>855</v>
      </c>
      <c r="G27" s="243">
        <v>693</v>
      </c>
      <c r="H27" s="244">
        <v>524</v>
      </c>
      <c r="I27" s="245">
        <v>1201</v>
      </c>
      <c r="J27" s="245">
        <v>1249</v>
      </c>
      <c r="K27" s="246">
        <v>1579</v>
      </c>
      <c r="L27" s="246">
        <v>2026</v>
      </c>
      <c r="M27" s="246">
        <v>2441</v>
      </c>
      <c r="N27" s="246">
        <v>2673</v>
      </c>
      <c r="O27" s="246">
        <v>2673</v>
      </c>
      <c r="P27" s="246">
        <v>2539</v>
      </c>
      <c r="Q27" s="246">
        <v>2734</v>
      </c>
      <c r="R27" s="246">
        <v>3180</v>
      </c>
      <c r="S27" s="246">
        <v>3825</v>
      </c>
    </row>
    <row r="28" spans="1:19" s="206" customFormat="1" ht="19.5" customHeight="1">
      <c r="A28" s="205" t="s">
        <v>170</v>
      </c>
      <c r="B28" s="213">
        <v>1.5</v>
      </c>
      <c r="C28" s="213">
        <v>2</v>
      </c>
      <c r="D28" s="213">
        <v>4</v>
      </c>
      <c r="E28" s="213">
        <v>4</v>
      </c>
      <c r="F28" s="213">
        <v>8</v>
      </c>
      <c r="G28" s="213">
        <v>1.6</v>
      </c>
      <c r="H28" s="213">
        <v>3.49</v>
      </c>
      <c r="I28" s="213">
        <v>5</v>
      </c>
      <c r="J28" s="214">
        <v>8.4</v>
      </c>
      <c r="K28" s="213">
        <v>5.5</v>
      </c>
      <c r="L28" s="213">
        <v>13</v>
      </c>
      <c r="M28" s="213">
        <v>13</v>
      </c>
      <c r="N28" s="213">
        <v>15</v>
      </c>
      <c r="O28" s="213">
        <v>15</v>
      </c>
      <c r="P28" s="213">
        <v>14</v>
      </c>
      <c r="Q28" s="213">
        <v>8</v>
      </c>
      <c r="R28" s="213">
        <v>2.5</v>
      </c>
      <c r="S28" s="213">
        <v>4</v>
      </c>
    </row>
    <row r="29" spans="1:19" ht="19.5" customHeight="1">
      <c r="A29" s="187" t="s">
        <v>308</v>
      </c>
      <c r="B29" s="213">
        <v>15.1</v>
      </c>
      <c r="C29" s="213">
        <v>15.3</v>
      </c>
      <c r="D29" s="213">
        <v>14</v>
      </c>
      <c r="E29" s="213">
        <v>16</v>
      </c>
      <c r="F29" s="213">
        <v>16</v>
      </c>
      <c r="G29" s="213">
        <v>5.1</v>
      </c>
      <c r="H29" s="213">
        <v>8</v>
      </c>
      <c r="I29" s="213">
        <v>8</v>
      </c>
      <c r="J29" s="214">
        <v>12</v>
      </c>
      <c r="K29" s="213">
        <v>7.5</v>
      </c>
      <c r="L29" s="213">
        <v>12</v>
      </c>
      <c r="M29" s="213">
        <v>12</v>
      </c>
      <c r="N29" s="213">
        <v>15.3</v>
      </c>
      <c r="O29" s="213">
        <v>15.3</v>
      </c>
      <c r="P29" s="213">
        <v>15</v>
      </c>
      <c r="Q29" s="213">
        <v>12</v>
      </c>
      <c r="R29" s="213">
        <v>0</v>
      </c>
      <c r="S29" s="213">
        <v>6.5</v>
      </c>
    </row>
    <row r="30" spans="1:19" ht="17.25" customHeight="1">
      <c r="A30" s="364"/>
      <c r="B30" s="190"/>
      <c r="C30" s="190"/>
      <c r="D30" s="190"/>
      <c r="E30" s="190"/>
      <c r="F30" s="190"/>
      <c r="G30" s="190"/>
      <c r="H30" s="190"/>
      <c r="I30" s="190"/>
      <c r="J30" s="191"/>
      <c r="K30" s="190"/>
      <c r="L30" s="192"/>
      <c r="M30" s="192"/>
      <c r="N30" s="192"/>
      <c r="O30" s="192"/>
      <c r="P30" s="192"/>
      <c r="Q30" s="192"/>
      <c r="R30" s="192"/>
      <c r="S30" s="192"/>
    </row>
    <row r="31" spans="1:19" ht="21.75" customHeight="1">
      <c r="A31" s="201" t="s">
        <v>278</v>
      </c>
      <c r="B31" s="450">
        <v>20.67</v>
      </c>
      <c r="C31" s="450">
        <v>22.74</v>
      </c>
      <c r="D31" s="450">
        <v>26.87</v>
      </c>
      <c r="E31" s="450">
        <v>20.28</v>
      </c>
      <c r="F31" s="450">
        <v>25.77</v>
      </c>
      <c r="G31" s="450">
        <v>32.04</v>
      </c>
      <c r="H31" s="450">
        <v>29.86</v>
      </c>
      <c r="I31" s="450">
        <v>29.27</v>
      </c>
      <c r="J31" s="450">
        <v>30.17</v>
      </c>
      <c r="K31" s="426">
        <v>30.37</v>
      </c>
      <c r="L31" s="426">
        <v>29.5</v>
      </c>
      <c r="M31" s="426">
        <v>30.46</v>
      </c>
      <c r="N31" s="426">
        <v>31.65</v>
      </c>
      <c r="O31" s="426">
        <v>34.56</v>
      </c>
      <c r="P31" s="426">
        <v>32.14</v>
      </c>
      <c r="Q31" s="426">
        <v>25.93</v>
      </c>
      <c r="R31" s="426">
        <v>29.41</v>
      </c>
      <c r="S31" s="426" t="s">
        <v>350</v>
      </c>
    </row>
    <row r="32" spans="1:19" ht="21.75" customHeight="1">
      <c r="A32" s="207" t="s">
        <v>320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27"/>
      <c r="L32" s="427"/>
      <c r="M32" s="427"/>
      <c r="N32" s="427"/>
      <c r="O32" s="427"/>
      <c r="P32" s="427"/>
      <c r="Q32" s="427"/>
      <c r="R32" s="427"/>
      <c r="S32" s="427"/>
    </row>
    <row r="33" spans="1:19" ht="17.25" customHeight="1">
      <c r="A33" s="208"/>
      <c r="B33" s="197"/>
      <c r="C33" s="197"/>
      <c r="D33" s="197"/>
      <c r="E33" s="197"/>
      <c r="F33" s="197"/>
      <c r="G33" s="197"/>
      <c r="H33" s="197"/>
      <c r="I33" s="197"/>
      <c r="J33" s="209"/>
      <c r="K33" s="199"/>
      <c r="L33" s="190"/>
      <c r="M33" s="190"/>
      <c r="N33" s="190"/>
      <c r="O33" s="190"/>
      <c r="P33" s="190"/>
      <c r="Q33" s="190"/>
      <c r="R33" s="190"/>
      <c r="S33" s="190"/>
    </row>
    <row r="34" spans="1:19" ht="21.75" customHeight="1">
      <c r="A34" s="201" t="s">
        <v>151</v>
      </c>
      <c r="B34" s="450">
        <v>13.14</v>
      </c>
      <c r="C34" s="450">
        <v>11.97</v>
      </c>
      <c r="D34" s="450">
        <v>11.92</v>
      </c>
      <c r="E34" s="450">
        <v>8.57</v>
      </c>
      <c r="F34" s="450">
        <v>5.86</v>
      </c>
      <c r="G34" s="450">
        <v>5.51</v>
      </c>
      <c r="H34" s="450">
        <v>4.99</v>
      </c>
      <c r="I34" s="450">
        <v>5.21</v>
      </c>
      <c r="J34" s="450">
        <v>6.64</v>
      </c>
      <c r="K34" s="426">
        <v>6.75</v>
      </c>
      <c r="L34" s="426">
        <v>6.6</v>
      </c>
      <c r="M34" s="426">
        <v>6.59</v>
      </c>
      <c r="N34" s="426">
        <v>6.61</v>
      </c>
      <c r="O34" s="426">
        <v>7.54</v>
      </c>
      <c r="P34" s="426">
        <v>9.23</v>
      </c>
      <c r="Q34" s="426">
        <v>6.74</v>
      </c>
      <c r="R34" s="426">
        <v>5.28</v>
      </c>
      <c r="S34" s="426" t="s">
        <v>352</v>
      </c>
    </row>
    <row r="35" spans="1:19" ht="21" customHeight="1">
      <c r="A35" s="207" t="s">
        <v>321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27"/>
      <c r="L35" s="427"/>
      <c r="M35" s="427"/>
      <c r="N35" s="427"/>
      <c r="O35" s="427"/>
      <c r="P35" s="427"/>
      <c r="Q35" s="427"/>
      <c r="R35" s="427"/>
      <c r="S35" s="427"/>
    </row>
    <row r="36" spans="1:19" ht="17.25" customHeight="1">
      <c r="A36" s="208"/>
      <c r="B36" s="199"/>
      <c r="C36" s="199"/>
      <c r="D36" s="199"/>
      <c r="E36" s="199"/>
      <c r="F36" s="199"/>
      <c r="G36" s="199"/>
      <c r="H36" s="199"/>
      <c r="I36" s="199"/>
      <c r="J36" s="200"/>
      <c r="K36" s="199"/>
      <c r="L36" s="190"/>
      <c r="M36" s="190"/>
      <c r="N36" s="190"/>
      <c r="O36" s="190"/>
      <c r="P36" s="190"/>
      <c r="Q36" s="190"/>
      <c r="R36" s="190"/>
      <c r="S36" s="190"/>
    </row>
    <row r="37" spans="1:19" ht="21.75" customHeight="1">
      <c r="A37" s="210" t="s">
        <v>168</v>
      </c>
      <c r="B37" s="452">
        <v>212.77</v>
      </c>
      <c r="C37" s="452">
        <v>164.03</v>
      </c>
      <c r="D37" s="452">
        <v>183.28</v>
      </c>
      <c r="E37" s="452">
        <v>163.81</v>
      </c>
      <c r="F37" s="452">
        <v>117.97</v>
      </c>
      <c r="G37" s="452">
        <v>129.88</v>
      </c>
      <c r="H37" s="452">
        <v>173.84</v>
      </c>
      <c r="I37" s="452">
        <v>217.27</v>
      </c>
      <c r="J37" s="452">
        <v>281.13</v>
      </c>
      <c r="K37" s="428">
        <v>250.33</v>
      </c>
      <c r="L37" s="454">
        <v>252.43</v>
      </c>
      <c r="M37" s="428">
        <v>260.37</v>
      </c>
      <c r="N37" s="428">
        <v>263.2</v>
      </c>
      <c r="O37" s="428">
        <v>310.91</v>
      </c>
      <c r="P37" s="428">
        <v>494.95</v>
      </c>
      <c r="Q37" s="428">
        <v>390.03</v>
      </c>
      <c r="R37" s="428">
        <v>288.93</v>
      </c>
      <c r="S37" s="428" t="s">
        <v>351</v>
      </c>
    </row>
    <row r="38" spans="1:19" ht="21" customHeight="1" thickBot="1">
      <c r="A38" s="224" t="s">
        <v>319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29"/>
      <c r="L38" s="455"/>
      <c r="M38" s="429"/>
      <c r="N38" s="429"/>
      <c r="O38" s="429"/>
      <c r="P38" s="429"/>
      <c r="Q38" s="429"/>
      <c r="R38" s="429"/>
      <c r="S38" s="429"/>
    </row>
    <row r="39" ht="18" customHeight="1">
      <c r="A39" s="144" t="s">
        <v>156</v>
      </c>
    </row>
    <row r="40" ht="18" customHeight="1">
      <c r="A40" s="363" t="s">
        <v>326</v>
      </c>
    </row>
    <row r="41" ht="18" customHeight="1">
      <c r="A41" s="363" t="s">
        <v>343</v>
      </c>
    </row>
    <row r="42" ht="18" customHeight="1">
      <c r="A42" s="363" t="s">
        <v>294</v>
      </c>
    </row>
    <row r="43" ht="18" customHeight="1">
      <c r="A43" s="363" t="s">
        <v>344</v>
      </c>
    </row>
  </sheetData>
  <mergeCells count="75">
    <mergeCell ref="A8:S8"/>
    <mergeCell ref="R10:R11"/>
    <mergeCell ref="R31:R32"/>
    <mergeCell ref="A10:A11"/>
    <mergeCell ref="L10:L11"/>
    <mergeCell ref="K10:K11"/>
    <mergeCell ref="G10:G11"/>
    <mergeCell ref="F10:F11"/>
    <mergeCell ref="H31:H32"/>
    <mergeCell ref="J10:J11"/>
    <mergeCell ref="R34:R35"/>
    <mergeCell ref="R37:R38"/>
    <mergeCell ref="K31:K32"/>
    <mergeCell ref="L31:L32"/>
    <mergeCell ref="K34:K35"/>
    <mergeCell ref="L34:L35"/>
    <mergeCell ref="K37:K38"/>
    <mergeCell ref="L37:L38"/>
    <mergeCell ref="M34:M35"/>
    <mergeCell ref="N37:N38"/>
    <mergeCell ref="I10:I11"/>
    <mergeCell ref="F34:F35"/>
    <mergeCell ref="G34:G35"/>
    <mergeCell ref="H10:H11"/>
    <mergeCell ref="F31:F32"/>
    <mergeCell ref="G31:G32"/>
    <mergeCell ref="H34:H35"/>
    <mergeCell ref="B34:B35"/>
    <mergeCell ref="C34:C35"/>
    <mergeCell ref="D34:D35"/>
    <mergeCell ref="E34:E35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I34:I35"/>
    <mergeCell ref="J34:J35"/>
    <mergeCell ref="I31:I32"/>
    <mergeCell ref="J31:J32"/>
    <mergeCell ref="D10:D11"/>
    <mergeCell ref="E10:E11"/>
    <mergeCell ref="B31:B32"/>
    <mergeCell ref="C31:C32"/>
    <mergeCell ref="D31:D32"/>
    <mergeCell ref="E31:E32"/>
    <mergeCell ref="O37:O38"/>
    <mergeCell ref="N34:N35"/>
    <mergeCell ref="M37:M38"/>
    <mergeCell ref="P34:P35"/>
    <mergeCell ref="P37:P38"/>
    <mergeCell ref="S37:S38"/>
    <mergeCell ref="Q34:Q35"/>
    <mergeCell ref="Q37:Q38"/>
    <mergeCell ref="M10:M11"/>
    <mergeCell ref="M31:M32"/>
    <mergeCell ref="Q10:Q11"/>
    <mergeCell ref="Q31:Q32"/>
    <mergeCell ref="P10:P11"/>
    <mergeCell ref="P31:P32"/>
    <mergeCell ref="N10:N11"/>
    <mergeCell ref="A6:S6"/>
    <mergeCell ref="S10:S11"/>
    <mergeCell ref="S31:S32"/>
    <mergeCell ref="S34:S35"/>
    <mergeCell ref="N31:N32"/>
    <mergeCell ref="O10:O11"/>
    <mergeCell ref="O31:O32"/>
    <mergeCell ref="O34:O35"/>
    <mergeCell ref="B10:B11"/>
    <mergeCell ref="C10:C11"/>
  </mergeCells>
  <printOptions horizontalCentered="1"/>
  <pageMargins left="0.1968503937007874" right="0.1968503937007874" top="0.1968503937007874" bottom="0.1968503937007874" header="0.5118110236220472" footer="0.3937007874015748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pane xSplit="3" topLeftCell="D1" activePane="topRight" state="frozen"/>
      <selection pane="topLeft" activeCell="A2" sqref="A2:M2"/>
      <selection pane="topRight" activeCell="A2" sqref="A2:M2"/>
    </sheetView>
  </sheetViews>
  <sheetFormatPr defaultColWidth="9.140625" defaultRowHeight="12.75"/>
  <cols>
    <col min="1" max="1" width="5.421875" style="61" customWidth="1"/>
    <col min="2" max="2" width="7.00390625" style="61" customWidth="1"/>
    <col min="3" max="3" width="9.7109375" style="61" customWidth="1"/>
    <col min="4" max="4" width="9.28125" style="61" customWidth="1"/>
    <col min="5" max="5" width="9.57421875" style="61" customWidth="1"/>
    <col min="6" max="6" width="9.00390625" style="61" customWidth="1"/>
    <col min="7" max="7" width="9.7109375" style="61" customWidth="1"/>
    <col min="8" max="8" width="9.00390625" style="61" customWidth="1"/>
    <col min="9" max="9" width="12.421875" style="61" customWidth="1"/>
    <col min="10" max="10" width="11.7109375" style="107" customWidth="1"/>
    <col min="11" max="12" width="9.140625" style="61" customWidth="1"/>
    <col min="13" max="13" width="11.8515625" style="61" customWidth="1"/>
    <col min="14" max="16384" width="9.140625" style="61" customWidth="1"/>
  </cols>
  <sheetData>
    <row r="1" spans="1:13" ht="13.5" thickBot="1">
      <c r="A1" s="58"/>
      <c r="B1" s="59"/>
      <c r="C1" s="59"/>
      <c r="D1" s="59"/>
      <c r="E1" s="59"/>
      <c r="F1" s="59"/>
      <c r="G1" s="59"/>
      <c r="H1" s="59"/>
      <c r="I1" s="59"/>
      <c r="J1" s="60"/>
      <c r="K1" s="59"/>
      <c r="L1" s="59"/>
      <c r="M1" s="59"/>
    </row>
    <row r="2" spans="1:13" ht="15" customHeight="1" thickBot="1">
      <c r="A2" s="460" t="s">
        <v>102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2"/>
    </row>
    <row r="3" spans="1:13" ht="17.25" customHeight="1">
      <c r="A3" s="469" t="s">
        <v>103</v>
      </c>
      <c r="B3" s="470"/>
      <c r="C3" s="471"/>
      <c r="D3" s="475" t="s">
        <v>104</v>
      </c>
      <c r="E3" s="476"/>
      <c r="F3" s="62" t="s">
        <v>105</v>
      </c>
      <c r="G3" s="457" t="s">
        <v>106</v>
      </c>
      <c r="H3" s="458"/>
      <c r="I3" s="458"/>
      <c r="J3" s="459"/>
      <c r="K3" s="457" t="s">
        <v>107</v>
      </c>
      <c r="L3" s="458"/>
      <c r="M3" s="459"/>
    </row>
    <row r="4" spans="1:13" ht="21" customHeight="1">
      <c r="A4" s="472"/>
      <c r="B4" s="473"/>
      <c r="C4" s="474"/>
      <c r="D4" s="63" t="s">
        <v>108</v>
      </c>
      <c r="E4" s="64" t="s">
        <v>109</v>
      </c>
      <c r="F4" s="65" t="s">
        <v>110</v>
      </c>
      <c r="G4" s="63" t="s">
        <v>111</v>
      </c>
      <c r="H4" s="66" t="s">
        <v>109</v>
      </c>
      <c r="I4" s="67" t="s">
        <v>112</v>
      </c>
      <c r="J4" s="68" t="s">
        <v>113</v>
      </c>
      <c r="K4" s="63" t="s">
        <v>111</v>
      </c>
      <c r="L4" s="66" t="s">
        <v>109</v>
      </c>
      <c r="M4" s="68" t="s">
        <v>114</v>
      </c>
    </row>
    <row r="5" spans="1:13" ht="15" customHeight="1">
      <c r="A5" s="467" t="s">
        <v>46</v>
      </c>
      <c r="B5" s="467"/>
      <c r="C5" s="468"/>
      <c r="D5" s="69">
        <v>852</v>
      </c>
      <c r="E5" s="70">
        <f aca="true" t="shared" si="0" ref="E5:E19">D5*100</f>
        <v>85200</v>
      </c>
      <c r="F5" s="71">
        <v>190</v>
      </c>
      <c r="G5" s="69">
        <v>819</v>
      </c>
      <c r="H5" s="72">
        <f aca="true" t="shared" si="1" ref="H5:H11">G5*100</f>
        <v>81900</v>
      </c>
      <c r="I5" s="73">
        <v>374100</v>
      </c>
      <c r="J5" s="74">
        <f aca="true" t="shared" si="2" ref="J5:J12">I5/H5</f>
        <v>4.5677655677655675</v>
      </c>
      <c r="K5" s="69">
        <v>274</v>
      </c>
      <c r="L5" s="72">
        <f aca="true" t="shared" si="3" ref="L5:L11">K5*100</f>
        <v>27400</v>
      </c>
      <c r="M5" s="74">
        <f aca="true" t="shared" si="4" ref="M5:M11">L5*190</f>
        <v>5206000</v>
      </c>
    </row>
    <row r="6" spans="1:13" ht="15" customHeight="1">
      <c r="A6" s="465" t="s">
        <v>44</v>
      </c>
      <c r="B6" s="465"/>
      <c r="C6" s="466"/>
      <c r="D6" s="75">
        <v>740</v>
      </c>
      <c r="E6" s="76">
        <f t="shared" si="0"/>
        <v>74000</v>
      </c>
      <c r="F6" s="71">
        <v>190</v>
      </c>
      <c r="G6" s="75">
        <v>127</v>
      </c>
      <c r="H6" s="72">
        <f t="shared" si="1"/>
        <v>12700</v>
      </c>
      <c r="I6" s="77">
        <v>12065</v>
      </c>
      <c r="J6" s="78">
        <f t="shared" si="2"/>
        <v>0.95</v>
      </c>
      <c r="K6" s="75">
        <v>10</v>
      </c>
      <c r="L6" s="72">
        <f t="shared" si="3"/>
        <v>1000</v>
      </c>
      <c r="M6" s="74">
        <f t="shared" si="4"/>
        <v>190000</v>
      </c>
    </row>
    <row r="7" spans="1:13" ht="15" customHeight="1">
      <c r="A7" s="465" t="s">
        <v>43</v>
      </c>
      <c r="B7" s="465"/>
      <c r="C7" s="466"/>
      <c r="D7" s="75">
        <v>6480</v>
      </c>
      <c r="E7" s="76">
        <f t="shared" si="0"/>
        <v>648000</v>
      </c>
      <c r="F7" s="71">
        <v>190</v>
      </c>
      <c r="G7" s="75">
        <v>5947</v>
      </c>
      <c r="H7" s="72">
        <f t="shared" si="1"/>
        <v>594700</v>
      </c>
      <c r="I7" s="77">
        <v>3809920</v>
      </c>
      <c r="J7" s="78">
        <f t="shared" si="2"/>
        <v>6.406457037161594</v>
      </c>
      <c r="K7" s="75">
        <v>1621</v>
      </c>
      <c r="L7" s="72">
        <f t="shared" si="3"/>
        <v>162100</v>
      </c>
      <c r="M7" s="74">
        <f t="shared" si="4"/>
        <v>30799000</v>
      </c>
    </row>
    <row r="8" spans="1:13" ht="15" customHeight="1">
      <c r="A8" s="465" t="s">
        <v>72</v>
      </c>
      <c r="B8" s="465"/>
      <c r="C8" s="466"/>
      <c r="D8" s="75">
        <v>1080</v>
      </c>
      <c r="E8" s="76">
        <f t="shared" si="0"/>
        <v>108000</v>
      </c>
      <c r="F8" s="71">
        <v>190</v>
      </c>
      <c r="G8" s="75">
        <v>1028</v>
      </c>
      <c r="H8" s="72">
        <f t="shared" si="1"/>
        <v>102800</v>
      </c>
      <c r="I8" s="77">
        <v>485840</v>
      </c>
      <c r="J8" s="78">
        <f t="shared" si="2"/>
        <v>4.726070038910506</v>
      </c>
      <c r="K8" s="75">
        <v>456</v>
      </c>
      <c r="L8" s="72">
        <f t="shared" si="3"/>
        <v>45600</v>
      </c>
      <c r="M8" s="74">
        <f t="shared" si="4"/>
        <v>8664000</v>
      </c>
    </row>
    <row r="9" spans="1:13" ht="15" customHeight="1">
      <c r="A9" s="465" t="s">
        <v>45</v>
      </c>
      <c r="B9" s="465"/>
      <c r="C9" s="466"/>
      <c r="D9" s="75">
        <v>1320</v>
      </c>
      <c r="E9" s="76">
        <f t="shared" si="0"/>
        <v>132000</v>
      </c>
      <c r="F9" s="71">
        <v>190</v>
      </c>
      <c r="G9" s="75">
        <v>1261</v>
      </c>
      <c r="H9" s="72">
        <f t="shared" si="1"/>
        <v>126100</v>
      </c>
      <c r="I9" s="77">
        <v>814000</v>
      </c>
      <c r="J9" s="78">
        <f t="shared" si="2"/>
        <v>6.455194290245837</v>
      </c>
      <c r="K9" s="75">
        <v>352</v>
      </c>
      <c r="L9" s="72">
        <f t="shared" si="3"/>
        <v>35200</v>
      </c>
      <c r="M9" s="74">
        <f t="shared" si="4"/>
        <v>6688000</v>
      </c>
    </row>
    <row r="10" spans="1:13" ht="15" customHeight="1">
      <c r="A10" s="465" t="s">
        <v>75</v>
      </c>
      <c r="B10" s="465"/>
      <c r="C10" s="466"/>
      <c r="D10" s="75">
        <v>108</v>
      </c>
      <c r="E10" s="76">
        <f t="shared" si="0"/>
        <v>10800</v>
      </c>
      <c r="F10" s="71">
        <v>190</v>
      </c>
      <c r="G10" s="75">
        <v>51</v>
      </c>
      <c r="H10" s="72">
        <f t="shared" si="1"/>
        <v>5100</v>
      </c>
      <c r="I10" s="77">
        <v>4845</v>
      </c>
      <c r="J10" s="78">
        <f t="shared" si="2"/>
        <v>0.95</v>
      </c>
      <c r="K10" s="75">
        <v>0</v>
      </c>
      <c r="L10" s="72">
        <f t="shared" si="3"/>
        <v>0</v>
      </c>
      <c r="M10" s="74">
        <f t="shared" si="4"/>
        <v>0</v>
      </c>
    </row>
    <row r="11" spans="1:13" ht="15" customHeight="1">
      <c r="A11" s="465" t="s">
        <v>115</v>
      </c>
      <c r="B11" s="465"/>
      <c r="C11" s="466"/>
      <c r="D11" s="75">
        <v>100</v>
      </c>
      <c r="E11" s="76">
        <f t="shared" si="0"/>
        <v>10000</v>
      </c>
      <c r="F11" s="71">
        <v>190</v>
      </c>
      <c r="G11" s="75">
        <v>87</v>
      </c>
      <c r="H11" s="72">
        <f t="shared" si="1"/>
        <v>8700</v>
      </c>
      <c r="I11" s="77">
        <v>8265</v>
      </c>
      <c r="J11" s="78">
        <f t="shared" si="2"/>
        <v>0.95</v>
      </c>
      <c r="K11" s="75">
        <v>10</v>
      </c>
      <c r="L11" s="72">
        <f t="shared" si="3"/>
        <v>1000</v>
      </c>
      <c r="M11" s="74">
        <f t="shared" si="4"/>
        <v>190000</v>
      </c>
    </row>
    <row r="12" spans="1:13" s="86" customFormat="1" ht="15" customHeight="1">
      <c r="A12" s="463" t="s">
        <v>116</v>
      </c>
      <c r="B12" s="463"/>
      <c r="C12" s="464"/>
      <c r="D12" s="79">
        <v>10680</v>
      </c>
      <c r="E12" s="80">
        <f t="shared" si="0"/>
        <v>1068000</v>
      </c>
      <c r="F12" s="81"/>
      <c r="G12" s="79">
        <f>SUM(G5:G11)</f>
        <v>9320</v>
      </c>
      <c r="H12" s="82">
        <f>SUM(H5:H11)</f>
        <v>932000</v>
      </c>
      <c r="I12" s="83">
        <f>SUM(I5:I11)</f>
        <v>5509035</v>
      </c>
      <c r="J12" s="84">
        <f t="shared" si="2"/>
        <v>5.910981759656653</v>
      </c>
      <c r="K12" s="79">
        <f>SUM(K5:K11)</f>
        <v>2723</v>
      </c>
      <c r="L12" s="82">
        <f>SUM(L5:L11)</f>
        <v>272300</v>
      </c>
      <c r="M12" s="85">
        <f>SUM(M5:M11)</f>
        <v>51737000</v>
      </c>
    </row>
    <row r="13" spans="1:13" s="91" customFormat="1" ht="15" customHeight="1">
      <c r="A13" s="465" t="s">
        <v>44</v>
      </c>
      <c r="B13" s="465"/>
      <c r="C13" s="466"/>
      <c r="D13" s="87">
        <v>320</v>
      </c>
      <c r="E13" s="76">
        <f t="shared" si="0"/>
        <v>32000</v>
      </c>
      <c r="F13" s="71">
        <v>114</v>
      </c>
      <c r="G13" s="87">
        <v>0</v>
      </c>
      <c r="H13" s="88">
        <v>0</v>
      </c>
      <c r="I13" s="89">
        <v>0</v>
      </c>
      <c r="J13" s="90">
        <v>0</v>
      </c>
      <c r="K13" s="87">
        <v>0</v>
      </c>
      <c r="L13" s="88">
        <v>0</v>
      </c>
      <c r="M13" s="74">
        <f>L13*190</f>
        <v>0</v>
      </c>
    </row>
    <row r="14" spans="1:13" s="91" customFormat="1" ht="15" customHeight="1">
      <c r="A14" s="463" t="s">
        <v>117</v>
      </c>
      <c r="B14" s="463"/>
      <c r="C14" s="464"/>
      <c r="D14" s="92">
        <v>320</v>
      </c>
      <c r="E14" s="80">
        <f t="shared" si="0"/>
        <v>32000</v>
      </c>
      <c r="F14" s="81"/>
      <c r="G14" s="92">
        <v>0</v>
      </c>
      <c r="H14" s="93">
        <v>0</v>
      </c>
      <c r="I14" s="94">
        <v>0</v>
      </c>
      <c r="J14" s="84">
        <v>0</v>
      </c>
      <c r="K14" s="92">
        <v>0</v>
      </c>
      <c r="L14" s="93">
        <v>0</v>
      </c>
      <c r="M14" s="84">
        <v>0</v>
      </c>
    </row>
    <row r="15" spans="1:13" ht="15" customHeight="1">
      <c r="A15" s="465" t="s">
        <v>46</v>
      </c>
      <c r="B15" s="465"/>
      <c r="C15" s="466"/>
      <c r="D15" s="75">
        <v>210</v>
      </c>
      <c r="E15" s="76">
        <f t="shared" si="0"/>
        <v>21000</v>
      </c>
      <c r="F15" s="71">
        <v>104</v>
      </c>
      <c r="G15" s="75">
        <v>0</v>
      </c>
      <c r="H15" s="95">
        <f>G15*100</f>
        <v>0</v>
      </c>
      <c r="I15" s="77">
        <v>0</v>
      </c>
      <c r="J15" s="78">
        <v>0</v>
      </c>
      <c r="K15" s="75">
        <v>0</v>
      </c>
      <c r="L15" s="95">
        <f>K15*100</f>
        <v>0</v>
      </c>
      <c r="M15" s="74">
        <f>L15*190</f>
        <v>0</v>
      </c>
    </row>
    <row r="16" spans="1:13" ht="15" customHeight="1">
      <c r="A16" s="465" t="s">
        <v>44</v>
      </c>
      <c r="B16" s="465"/>
      <c r="C16" s="466"/>
      <c r="D16" s="75">
        <v>2560</v>
      </c>
      <c r="E16" s="76">
        <f t="shared" si="0"/>
        <v>256000</v>
      </c>
      <c r="F16" s="71">
        <v>104</v>
      </c>
      <c r="G16" s="75">
        <v>7</v>
      </c>
      <c r="H16" s="95">
        <f>G16*100</f>
        <v>700</v>
      </c>
      <c r="I16" s="77">
        <v>364</v>
      </c>
      <c r="J16" s="78">
        <f>I16/H16</f>
        <v>0.52</v>
      </c>
      <c r="K16" s="75">
        <v>0</v>
      </c>
      <c r="L16" s="95">
        <f>K16*100</f>
        <v>0</v>
      </c>
      <c r="M16" s="74">
        <f>L16*190</f>
        <v>0</v>
      </c>
    </row>
    <row r="17" spans="1:13" ht="15" customHeight="1">
      <c r="A17" s="465" t="s">
        <v>47</v>
      </c>
      <c r="B17" s="465"/>
      <c r="C17" s="466"/>
      <c r="D17" s="75">
        <v>1050</v>
      </c>
      <c r="E17" s="76">
        <f t="shared" si="0"/>
        <v>105000</v>
      </c>
      <c r="F17" s="71">
        <v>104</v>
      </c>
      <c r="G17" s="75">
        <v>30</v>
      </c>
      <c r="H17" s="95">
        <f>G17*100</f>
        <v>3000</v>
      </c>
      <c r="I17" s="77">
        <v>4160</v>
      </c>
      <c r="J17" s="78">
        <f>I17/H17</f>
        <v>1.3866666666666667</v>
      </c>
      <c r="K17" s="75">
        <v>0</v>
      </c>
      <c r="L17" s="95">
        <f>K17*100</f>
        <v>0</v>
      </c>
      <c r="M17" s="74">
        <f>L17*190</f>
        <v>0</v>
      </c>
    </row>
    <row r="18" spans="1:13" ht="15" customHeight="1">
      <c r="A18" s="465" t="s">
        <v>73</v>
      </c>
      <c r="B18" s="465"/>
      <c r="C18" s="466"/>
      <c r="D18" s="75">
        <v>180</v>
      </c>
      <c r="E18" s="76">
        <f t="shared" si="0"/>
        <v>18000</v>
      </c>
      <c r="F18" s="71">
        <v>104</v>
      </c>
      <c r="G18" s="75">
        <v>0</v>
      </c>
      <c r="H18" s="95">
        <f>G18*100</f>
        <v>0</v>
      </c>
      <c r="I18" s="77">
        <v>0</v>
      </c>
      <c r="J18" s="78">
        <v>0</v>
      </c>
      <c r="K18" s="75">
        <v>0</v>
      </c>
      <c r="L18" s="95">
        <f>K18*100</f>
        <v>0</v>
      </c>
      <c r="M18" s="74">
        <f>L18*190</f>
        <v>0</v>
      </c>
    </row>
    <row r="19" spans="1:13" ht="15" customHeight="1">
      <c r="A19" s="463" t="s">
        <v>118</v>
      </c>
      <c r="B19" s="463"/>
      <c r="C19" s="464"/>
      <c r="D19" s="79">
        <v>4000</v>
      </c>
      <c r="E19" s="80">
        <f t="shared" si="0"/>
        <v>400000</v>
      </c>
      <c r="F19" s="81"/>
      <c r="G19" s="79">
        <f>SUM(G15:G18)</f>
        <v>37</v>
      </c>
      <c r="H19" s="82">
        <f>SUM(H15:H18)</f>
        <v>3700</v>
      </c>
      <c r="I19" s="83">
        <f>SUM(I15:I18)</f>
        <v>4524</v>
      </c>
      <c r="J19" s="84">
        <f>I19/H19</f>
        <v>1.2227027027027026</v>
      </c>
      <c r="K19" s="79">
        <f>SUM(K15:K18)</f>
        <v>0</v>
      </c>
      <c r="L19" s="82">
        <f>SUM(L15:L18)</f>
        <v>0</v>
      </c>
      <c r="M19" s="85">
        <f>SUM(M15:M18)</f>
        <v>0</v>
      </c>
    </row>
    <row r="20" spans="1:13" ht="15" customHeight="1">
      <c r="A20" s="96"/>
      <c r="B20" s="97"/>
      <c r="C20" s="98"/>
      <c r="D20" s="75"/>
      <c r="E20" s="76"/>
      <c r="F20" s="99"/>
      <c r="G20" s="75"/>
      <c r="H20" s="95"/>
      <c r="I20" s="77"/>
      <c r="J20" s="78"/>
      <c r="K20" s="75"/>
      <c r="L20" s="95"/>
      <c r="M20" s="78"/>
    </row>
    <row r="21" spans="1:13" ht="15" customHeight="1" thickBot="1">
      <c r="A21" s="477" t="s">
        <v>119</v>
      </c>
      <c r="B21" s="477"/>
      <c r="C21" s="478"/>
      <c r="D21" s="100">
        <v>15000</v>
      </c>
      <c r="E21" s="101">
        <f>D21*100</f>
        <v>1500000</v>
      </c>
      <c r="F21" s="102"/>
      <c r="G21" s="100">
        <f>(G19+G12)</f>
        <v>9357</v>
      </c>
      <c r="H21" s="103">
        <f>(H19+H12)</f>
        <v>935700</v>
      </c>
      <c r="I21" s="104">
        <f>(I19+I12)</f>
        <v>5513559</v>
      </c>
      <c r="J21" s="105">
        <f>I21/H21</f>
        <v>5.89244309073421</v>
      </c>
      <c r="K21" s="100">
        <f>(K19+K12)</f>
        <v>2723</v>
      </c>
      <c r="L21" s="103">
        <f>(L19+L12)</f>
        <v>272300</v>
      </c>
      <c r="M21" s="105">
        <f>(M19+M12)</f>
        <v>51737000</v>
      </c>
    </row>
    <row r="22" ht="12.75">
      <c r="A22" s="106" t="s">
        <v>120</v>
      </c>
    </row>
    <row r="23" ht="12.75">
      <c r="A23" s="108"/>
    </row>
    <row r="24" spans="1:13" ht="13.5" thickBot="1">
      <c r="A24" s="58"/>
      <c r="B24" s="59"/>
      <c r="C24" s="59"/>
      <c r="D24" s="59"/>
      <c r="E24" s="59"/>
      <c r="F24" s="59"/>
      <c r="G24" s="59"/>
      <c r="H24" s="59"/>
      <c r="I24" s="59"/>
      <c r="J24" s="60"/>
      <c r="K24" s="59"/>
      <c r="L24" s="59"/>
      <c r="M24" s="59"/>
    </row>
    <row r="25" spans="1:13" ht="13.5" customHeight="1" thickBot="1">
      <c r="A25" s="460" t="s">
        <v>121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2"/>
    </row>
    <row r="26" spans="1:13" ht="17.25" customHeight="1">
      <c r="A26" s="469" t="s">
        <v>103</v>
      </c>
      <c r="B26" s="470"/>
      <c r="C26" s="471"/>
      <c r="D26" s="458" t="s">
        <v>104</v>
      </c>
      <c r="E26" s="479"/>
      <c r="F26" s="109" t="s">
        <v>105</v>
      </c>
      <c r="G26" s="457" t="s">
        <v>106</v>
      </c>
      <c r="H26" s="458"/>
      <c r="I26" s="458"/>
      <c r="J26" s="459"/>
      <c r="K26" s="457" t="s">
        <v>107</v>
      </c>
      <c r="L26" s="458"/>
      <c r="M26" s="459"/>
    </row>
    <row r="27" spans="1:13" ht="21" customHeight="1">
      <c r="A27" s="472"/>
      <c r="B27" s="473"/>
      <c r="C27" s="474"/>
      <c r="D27" s="63" t="s">
        <v>108</v>
      </c>
      <c r="E27" s="64" t="s">
        <v>109</v>
      </c>
      <c r="F27" s="65" t="s">
        <v>110</v>
      </c>
      <c r="G27" s="110" t="s">
        <v>111</v>
      </c>
      <c r="H27" s="66" t="s">
        <v>109</v>
      </c>
      <c r="I27" s="111" t="s">
        <v>112</v>
      </c>
      <c r="J27" s="68" t="s">
        <v>113</v>
      </c>
      <c r="K27" s="63" t="s">
        <v>111</v>
      </c>
      <c r="L27" s="66" t="s">
        <v>109</v>
      </c>
      <c r="M27" s="68" t="s">
        <v>114</v>
      </c>
    </row>
    <row r="28" spans="1:13" ht="15" customHeight="1">
      <c r="A28" s="467" t="s">
        <v>46</v>
      </c>
      <c r="B28" s="467"/>
      <c r="C28" s="468"/>
      <c r="D28" s="69">
        <v>852</v>
      </c>
      <c r="E28" s="70">
        <f aca="true" t="shared" si="5" ref="E28:E42">D28*100</f>
        <v>85200</v>
      </c>
      <c r="F28" s="71">
        <v>195</v>
      </c>
      <c r="G28" s="69">
        <v>832</v>
      </c>
      <c r="H28" s="72">
        <f aca="true" t="shared" si="6" ref="H28:H34">G28*100</f>
        <v>83200</v>
      </c>
      <c r="I28" s="73">
        <v>237352</v>
      </c>
      <c r="J28" s="74">
        <f aca="true" t="shared" si="7" ref="J28:J35">I28/H28</f>
        <v>2.8527884615384616</v>
      </c>
      <c r="K28" s="69">
        <v>394</v>
      </c>
      <c r="L28" s="72">
        <f aca="true" t="shared" si="8" ref="L28:L34">K28*100</f>
        <v>39400</v>
      </c>
      <c r="M28" s="74">
        <f aca="true" t="shared" si="9" ref="M28:M34">L28*195</f>
        <v>7683000</v>
      </c>
    </row>
    <row r="29" spans="1:13" ht="15" customHeight="1">
      <c r="A29" s="465" t="s">
        <v>44</v>
      </c>
      <c r="B29" s="465"/>
      <c r="C29" s="466"/>
      <c r="D29" s="75">
        <v>740</v>
      </c>
      <c r="E29" s="76">
        <f t="shared" si="5"/>
        <v>74000</v>
      </c>
      <c r="F29" s="71">
        <v>195</v>
      </c>
      <c r="G29" s="75">
        <v>126</v>
      </c>
      <c r="H29" s="72">
        <f t="shared" si="6"/>
        <v>12600</v>
      </c>
      <c r="I29" s="77">
        <v>15210</v>
      </c>
      <c r="J29" s="78">
        <f t="shared" si="7"/>
        <v>1.207142857142857</v>
      </c>
      <c r="K29" s="75">
        <v>87</v>
      </c>
      <c r="L29" s="72">
        <f t="shared" si="8"/>
        <v>8700</v>
      </c>
      <c r="M29" s="74">
        <f t="shared" si="9"/>
        <v>1696500</v>
      </c>
    </row>
    <row r="30" spans="1:13" ht="15" customHeight="1">
      <c r="A30" s="465" t="s">
        <v>43</v>
      </c>
      <c r="B30" s="465"/>
      <c r="C30" s="466"/>
      <c r="D30" s="75">
        <v>6480</v>
      </c>
      <c r="E30" s="76">
        <f t="shared" si="5"/>
        <v>648000</v>
      </c>
      <c r="F30" s="71">
        <v>195</v>
      </c>
      <c r="G30" s="75">
        <v>5996</v>
      </c>
      <c r="H30" s="72">
        <f t="shared" si="6"/>
        <v>599600</v>
      </c>
      <c r="I30" s="77">
        <v>3453130</v>
      </c>
      <c r="J30" s="78">
        <f t="shared" si="7"/>
        <v>5.7590560373582385</v>
      </c>
      <c r="K30" s="75">
        <v>4725</v>
      </c>
      <c r="L30" s="72">
        <f t="shared" si="8"/>
        <v>472500</v>
      </c>
      <c r="M30" s="74">
        <f t="shared" si="9"/>
        <v>92137500</v>
      </c>
    </row>
    <row r="31" spans="1:13" ht="15" customHeight="1">
      <c r="A31" s="465" t="s">
        <v>72</v>
      </c>
      <c r="B31" s="465"/>
      <c r="C31" s="466"/>
      <c r="D31" s="75">
        <v>1080</v>
      </c>
      <c r="E31" s="76">
        <f t="shared" si="5"/>
        <v>108000</v>
      </c>
      <c r="F31" s="71">
        <v>195</v>
      </c>
      <c r="G31" s="75">
        <v>1027</v>
      </c>
      <c r="H31" s="72">
        <f t="shared" si="6"/>
        <v>102700</v>
      </c>
      <c r="I31" s="77">
        <v>424200</v>
      </c>
      <c r="J31" s="78">
        <f t="shared" si="7"/>
        <v>4.13047711781889</v>
      </c>
      <c r="K31" s="75">
        <v>759</v>
      </c>
      <c r="L31" s="72">
        <f t="shared" si="8"/>
        <v>75900</v>
      </c>
      <c r="M31" s="74">
        <f t="shared" si="9"/>
        <v>14800500</v>
      </c>
    </row>
    <row r="32" spans="1:13" ht="15" customHeight="1">
      <c r="A32" s="465" t="s">
        <v>45</v>
      </c>
      <c r="B32" s="465"/>
      <c r="C32" s="466"/>
      <c r="D32" s="75">
        <v>1320</v>
      </c>
      <c r="E32" s="76">
        <f t="shared" si="5"/>
        <v>132000</v>
      </c>
      <c r="F32" s="71">
        <v>195</v>
      </c>
      <c r="G32" s="75">
        <v>1289</v>
      </c>
      <c r="H32" s="72">
        <f t="shared" si="6"/>
        <v>128900</v>
      </c>
      <c r="I32" s="77">
        <v>752400</v>
      </c>
      <c r="J32" s="78">
        <f t="shared" si="7"/>
        <v>5.837083010085338</v>
      </c>
      <c r="K32" s="75">
        <v>1080</v>
      </c>
      <c r="L32" s="72">
        <f t="shared" si="8"/>
        <v>108000</v>
      </c>
      <c r="M32" s="74">
        <f t="shared" si="9"/>
        <v>21060000</v>
      </c>
    </row>
    <row r="33" spans="1:13" ht="15" customHeight="1">
      <c r="A33" s="465" t="s">
        <v>75</v>
      </c>
      <c r="B33" s="465"/>
      <c r="C33" s="466"/>
      <c r="D33" s="75">
        <v>108</v>
      </c>
      <c r="E33" s="76">
        <f t="shared" si="5"/>
        <v>10800</v>
      </c>
      <c r="F33" s="71">
        <v>195</v>
      </c>
      <c r="G33" s="75">
        <v>23</v>
      </c>
      <c r="H33" s="72">
        <f t="shared" si="6"/>
        <v>2300</v>
      </c>
      <c r="I33" s="77">
        <v>2340</v>
      </c>
      <c r="J33" s="78">
        <f t="shared" si="7"/>
        <v>1.017391304347826</v>
      </c>
      <c r="K33" s="75">
        <v>13</v>
      </c>
      <c r="L33" s="72">
        <f t="shared" si="8"/>
        <v>1300</v>
      </c>
      <c r="M33" s="74">
        <f t="shared" si="9"/>
        <v>253500</v>
      </c>
    </row>
    <row r="34" spans="1:13" ht="15" customHeight="1">
      <c r="A34" s="465" t="s">
        <v>115</v>
      </c>
      <c r="B34" s="465"/>
      <c r="C34" s="466"/>
      <c r="D34" s="75">
        <v>100</v>
      </c>
      <c r="E34" s="76">
        <f t="shared" si="5"/>
        <v>10000</v>
      </c>
      <c r="F34" s="71">
        <v>195</v>
      </c>
      <c r="G34" s="75">
        <v>100</v>
      </c>
      <c r="H34" s="72">
        <f t="shared" si="6"/>
        <v>10000</v>
      </c>
      <c r="I34" s="77">
        <v>10000</v>
      </c>
      <c r="J34" s="78">
        <f t="shared" si="7"/>
        <v>1</v>
      </c>
      <c r="K34" s="75">
        <v>28</v>
      </c>
      <c r="L34" s="72">
        <f t="shared" si="8"/>
        <v>2800</v>
      </c>
      <c r="M34" s="74">
        <f t="shared" si="9"/>
        <v>546000</v>
      </c>
    </row>
    <row r="35" spans="1:13" ht="15" customHeight="1">
      <c r="A35" s="463" t="s">
        <v>116</v>
      </c>
      <c r="B35" s="463"/>
      <c r="C35" s="464"/>
      <c r="D35" s="79">
        <v>10680</v>
      </c>
      <c r="E35" s="80">
        <f t="shared" si="5"/>
        <v>1068000</v>
      </c>
      <c r="F35" s="81"/>
      <c r="G35" s="79">
        <f>SUM(G28:G34)</f>
        <v>9393</v>
      </c>
      <c r="H35" s="79">
        <f>SUM(H28:H34)</f>
        <v>939300</v>
      </c>
      <c r="I35" s="83">
        <v>4894632</v>
      </c>
      <c r="J35" s="84">
        <f t="shared" si="7"/>
        <v>5.210935803257745</v>
      </c>
      <c r="K35" s="79">
        <f>SUM(K28:K34)</f>
        <v>7086</v>
      </c>
      <c r="L35" s="82">
        <f>SUM(L28:L34)</f>
        <v>708600</v>
      </c>
      <c r="M35" s="85">
        <f>SUM(M28:M34)</f>
        <v>138177000</v>
      </c>
    </row>
    <row r="36" spans="1:13" ht="15" customHeight="1">
      <c r="A36" s="465" t="s">
        <v>44</v>
      </c>
      <c r="B36" s="465"/>
      <c r="C36" s="466"/>
      <c r="D36" s="87">
        <v>320</v>
      </c>
      <c r="E36" s="76">
        <f t="shared" si="5"/>
        <v>32000</v>
      </c>
      <c r="F36" s="71">
        <v>117</v>
      </c>
      <c r="G36" s="87">
        <v>8</v>
      </c>
      <c r="H36" s="95">
        <v>800</v>
      </c>
      <c r="I36" s="89">
        <v>780</v>
      </c>
      <c r="J36" s="90">
        <v>0</v>
      </c>
      <c r="K36" s="87">
        <v>0</v>
      </c>
      <c r="L36" s="88">
        <v>0</v>
      </c>
      <c r="M36" s="74">
        <f>L36*190</f>
        <v>0</v>
      </c>
    </row>
    <row r="37" spans="1:13" ht="15" customHeight="1">
      <c r="A37" s="463" t="s">
        <v>117</v>
      </c>
      <c r="B37" s="463"/>
      <c r="C37" s="464"/>
      <c r="D37" s="92">
        <v>320</v>
      </c>
      <c r="E37" s="112">
        <f t="shared" si="5"/>
        <v>32000</v>
      </c>
      <c r="F37" s="81"/>
      <c r="G37" s="92">
        <v>8</v>
      </c>
      <c r="H37" s="93">
        <v>800</v>
      </c>
      <c r="I37" s="94">
        <v>780</v>
      </c>
      <c r="J37" s="84">
        <f>I37/H37</f>
        <v>0.975</v>
      </c>
      <c r="K37" s="92">
        <v>0</v>
      </c>
      <c r="L37" s="93">
        <v>0</v>
      </c>
      <c r="M37" s="84">
        <v>0</v>
      </c>
    </row>
    <row r="38" spans="1:13" ht="15" customHeight="1">
      <c r="A38" s="465" t="s">
        <v>46</v>
      </c>
      <c r="B38" s="465"/>
      <c r="C38" s="466"/>
      <c r="D38" s="75">
        <v>210</v>
      </c>
      <c r="E38" s="76">
        <f t="shared" si="5"/>
        <v>21000</v>
      </c>
      <c r="F38" s="71">
        <v>107</v>
      </c>
      <c r="G38" s="75">
        <v>0</v>
      </c>
      <c r="H38" s="95">
        <v>0</v>
      </c>
      <c r="I38" s="77">
        <v>0</v>
      </c>
      <c r="J38" s="78">
        <v>0</v>
      </c>
      <c r="K38" s="75">
        <v>0</v>
      </c>
      <c r="L38" s="95">
        <f>K38*100</f>
        <v>0</v>
      </c>
      <c r="M38" s="74">
        <f>L38*190</f>
        <v>0</v>
      </c>
    </row>
    <row r="39" spans="1:13" ht="15" customHeight="1">
      <c r="A39" s="465" t="s">
        <v>44</v>
      </c>
      <c r="B39" s="465"/>
      <c r="C39" s="466"/>
      <c r="D39" s="75">
        <v>2560</v>
      </c>
      <c r="E39" s="76">
        <f t="shared" si="5"/>
        <v>256000</v>
      </c>
      <c r="F39" s="71">
        <v>107</v>
      </c>
      <c r="G39" s="75">
        <v>91</v>
      </c>
      <c r="H39" s="95">
        <v>9100</v>
      </c>
      <c r="I39" s="77">
        <v>4868.5</v>
      </c>
      <c r="J39" s="78">
        <f>I39/H39</f>
        <v>0.535</v>
      </c>
      <c r="K39" s="75">
        <v>0</v>
      </c>
      <c r="L39" s="95">
        <f>K39*100</f>
        <v>0</v>
      </c>
      <c r="M39" s="74">
        <f>L39*190</f>
        <v>0</v>
      </c>
    </row>
    <row r="40" spans="1:13" ht="15" customHeight="1">
      <c r="A40" s="465" t="s">
        <v>47</v>
      </c>
      <c r="B40" s="465"/>
      <c r="C40" s="466"/>
      <c r="D40" s="75">
        <v>1050</v>
      </c>
      <c r="E40" s="76">
        <f t="shared" si="5"/>
        <v>105000</v>
      </c>
      <c r="F40" s="71">
        <v>107</v>
      </c>
      <c r="G40" s="75">
        <v>20</v>
      </c>
      <c r="H40" s="95">
        <v>2000</v>
      </c>
      <c r="I40" s="77">
        <v>1590</v>
      </c>
      <c r="J40" s="78">
        <f>I40/H40</f>
        <v>0.795</v>
      </c>
      <c r="K40" s="75">
        <v>0</v>
      </c>
      <c r="L40" s="95">
        <f>K40*100</f>
        <v>0</v>
      </c>
      <c r="M40" s="74">
        <f>L40*190</f>
        <v>0</v>
      </c>
    </row>
    <row r="41" spans="1:13" ht="15" customHeight="1">
      <c r="A41" s="465" t="s">
        <v>73</v>
      </c>
      <c r="B41" s="465"/>
      <c r="C41" s="466"/>
      <c r="D41" s="75">
        <v>180</v>
      </c>
      <c r="E41" s="76">
        <f t="shared" si="5"/>
        <v>18000</v>
      </c>
      <c r="F41" s="71">
        <v>107</v>
      </c>
      <c r="G41" s="75">
        <v>0</v>
      </c>
      <c r="H41" s="95">
        <v>0</v>
      </c>
      <c r="I41" s="77">
        <v>0</v>
      </c>
      <c r="J41" s="78">
        <v>0</v>
      </c>
      <c r="K41" s="75">
        <v>0</v>
      </c>
      <c r="L41" s="95">
        <f>K41*100</f>
        <v>0</v>
      </c>
      <c r="M41" s="74">
        <f>L41*190</f>
        <v>0</v>
      </c>
    </row>
    <row r="42" spans="1:13" ht="15" customHeight="1">
      <c r="A42" s="463" t="s">
        <v>118</v>
      </c>
      <c r="B42" s="463"/>
      <c r="C42" s="464"/>
      <c r="D42" s="79">
        <v>4000</v>
      </c>
      <c r="E42" s="80">
        <f t="shared" si="5"/>
        <v>400000</v>
      </c>
      <c r="F42" s="81"/>
      <c r="G42" s="79">
        <v>111</v>
      </c>
      <c r="H42" s="82">
        <v>11100</v>
      </c>
      <c r="I42" s="83">
        <v>6458.5</v>
      </c>
      <c r="J42" s="84">
        <f>I42/H42</f>
        <v>0.5818468468468468</v>
      </c>
      <c r="K42" s="79">
        <f>SUM(K38:K41)</f>
        <v>0</v>
      </c>
      <c r="L42" s="82">
        <f>SUM(L38:L41)</f>
        <v>0</v>
      </c>
      <c r="M42" s="85">
        <f>SUM(M38:M41)</f>
        <v>0</v>
      </c>
    </row>
    <row r="43" spans="1:13" ht="15" customHeight="1">
      <c r="A43" s="96"/>
      <c r="B43" s="97"/>
      <c r="C43" s="98"/>
      <c r="D43" s="75"/>
      <c r="E43" s="76"/>
      <c r="F43" s="99"/>
      <c r="G43" s="75"/>
      <c r="H43" s="95"/>
      <c r="I43" s="77"/>
      <c r="J43" s="78"/>
      <c r="K43" s="75"/>
      <c r="L43" s="95"/>
      <c r="M43" s="78"/>
    </row>
    <row r="44" spans="1:13" ht="15" customHeight="1" thickBot="1">
      <c r="A44" s="477" t="s">
        <v>119</v>
      </c>
      <c r="B44" s="477"/>
      <c r="C44" s="478"/>
      <c r="D44" s="100">
        <v>15000</v>
      </c>
      <c r="E44" s="101">
        <f>D44*100</f>
        <v>1500000</v>
      </c>
      <c r="F44" s="102"/>
      <c r="G44" s="100">
        <f>G42+G37+G35</f>
        <v>9512</v>
      </c>
      <c r="H44" s="103">
        <f>G44*100</f>
        <v>951200</v>
      </c>
      <c r="I44" s="104">
        <v>4901870.5</v>
      </c>
      <c r="J44" s="105">
        <f>I44/H44</f>
        <v>5.153354184188394</v>
      </c>
      <c r="K44" s="100">
        <f>(K42+K35)</f>
        <v>7086</v>
      </c>
      <c r="L44" s="103">
        <f>(L42+L35)</f>
        <v>708600</v>
      </c>
      <c r="M44" s="105">
        <f>(M42+M35)</f>
        <v>138177000</v>
      </c>
    </row>
    <row r="45" ht="12.75">
      <c r="A45" s="106" t="s">
        <v>120</v>
      </c>
    </row>
  </sheetData>
  <mergeCells count="42">
    <mergeCell ref="A30:C30"/>
    <mergeCell ref="A37:C37"/>
    <mergeCell ref="A38:C38"/>
    <mergeCell ref="A39:C39"/>
    <mergeCell ref="A32:C32"/>
    <mergeCell ref="A33:C33"/>
    <mergeCell ref="A34:C34"/>
    <mergeCell ref="A36:C36"/>
    <mergeCell ref="A41:C41"/>
    <mergeCell ref="A42:C42"/>
    <mergeCell ref="A44:C44"/>
    <mergeCell ref="A40:C40"/>
    <mergeCell ref="A28:C28"/>
    <mergeCell ref="A29:C29"/>
    <mergeCell ref="G26:J26"/>
    <mergeCell ref="A26:C27"/>
    <mergeCell ref="D26:E26"/>
    <mergeCell ref="A3:C4"/>
    <mergeCell ref="D3:E3"/>
    <mergeCell ref="G3:J3"/>
    <mergeCell ref="A35:C35"/>
    <mergeCell ref="A7:C7"/>
    <mergeCell ref="A10:C10"/>
    <mergeCell ref="A8:C8"/>
    <mergeCell ref="A21:C21"/>
    <mergeCell ref="A9:C9"/>
    <mergeCell ref="A31:C31"/>
    <mergeCell ref="A12:C12"/>
    <mergeCell ref="A15:C15"/>
    <mergeCell ref="A17:C17"/>
    <mergeCell ref="A5:C5"/>
    <mergeCell ref="A6:C6"/>
    <mergeCell ref="K3:M3"/>
    <mergeCell ref="A2:M2"/>
    <mergeCell ref="K26:M26"/>
    <mergeCell ref="A25:M25"/>
    <mergeCell ref="A19:C19"/>
    <mergeCell ref="A16:C16"/>
    <mergeCell ref="A11:C11"/>
    <mergeCell ref="A13:C13"/>
    <mergeCell ref="A14:C14"/>
    <mergeCell ref="A18:C18"/>
  </mergeCells>
  <printOptions horizontalCentered="1"/>
  <pageMargins left="0" right="0" top="0.3937007874015748" bottom="0.3937007874015748" header="0.5118110236220472" footer="0.1968503937007874"/>
  <pageSetup fitToHeight="1" fitToWidth="1" horizontalDpi="300" verticalDpi="300" orientation="portrait" paperSize="9" scale="83" r:id="rId1"/>
  <headerFooter alignWithMargins="0">
    <oddFooter>&amp;L&amp;8&amp;F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="90" zoomScaleNormal="90" workbookViewId="0" topLeftCell="A7">
      <selection activeCell="A9" sqref="A9"/>
    </sheetView>
  </sheetViews>
  <sheetFormatPr defaultColWidth="9.140625" defaultRowHeight="12.75"/>
  <cols>
    <col min="1" max="1" width="73.57421875" style="402" customWidth="1"/>
    <col min="2" max="2" width="14.7109375" style="402" customWidth="1"/>
    <col min="3" max="3" width="12.140625" style="402" customWidth="1"/>
    <col min="4" max="5" width="13.7109375" style="402" customWidth="1"/>
    <col min="6" max="6" width="13.57421875" style="402" customWidth="1"/>
    <col min="7" max="7" width="13.7109375" style="402" customWidth="1"/>
    <col min="8" max="8" width="13.28125" style="402" customWidth="1"/>
    <col min="9" max="9" width="13.7109375" style="402" hidden="1" customWidth="1"/>
    <col min="10" max="10" width="13.140625" style="402" hidden="1" customWidth="1"/>
    <col min="11" max="12" width="14.7109375" style="402" customWidth="1"/>
    <col min="13" max="13" width="9.140625" style="402" customWidth="1"/>
    <col min="14" max="14" width="15.28125" style="402" bestFit="1" customWidth="1"/>
    <col min="15" max="16" width="15.00390625" style="402" bestFit="1" customWidth="1"/>
    <col min="17" max="17" width="14.00390625" style="402" bestFit="1" customWidth="1"/>
    <col min="18" max="18" width="15.00390625" style="402" bestFit="1" customWidth="1"/>
    <col min="19" max="16384" width="9.140625" style="402" customWidth="1"/>
  </cols>
  <sheetData>
    <row r="1" spans="1:12" ht="15" customHeight="1">
      <c r="A1" s="480" t="s">
        <v>353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2" spans="1:12" ht="15" customHeight="1">
      <c r="A2" s="480" t="s">
        <v>354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</row>
    <row r="3" spans="1:12" ht="15" customHeight="1">
      <c r="A3" s="480" t="s">
        <v>355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</row>
    <row r="4" spans="1:12" ht="12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</row>
    <row r="5" spans="1:12" ht="15" customHeight="1">
      <c r="A5" s="480" t="s">
        <v>356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12" ht="12" customHeight="1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</row>
    <row r="7" spans="1:12" ht="15" customHeight="1">
      <c r="A7" s="486" t="s">
        <v>357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</row>
    <row r="8" spans="1:12" ht="9.75" customHeight="1">
      <c r="A8"/>
      <c r="B8"/>
      <c r="C8"/>
      <c r="D8"/>
      <c r="E8"/>
      <c r="F8"/>
      <c r="G8"/>
      <c r="H8"/>
      <c r="I8"/>
      <c r="J8"/>
      <c r="K8"/>
      <c r="L8"/>
    </row>
    <row r="9" spans="1:12" ht="15" customHeight="1">
      <c r="A9" s="404" t="s">
        <v>400</v>
      </c>
      <c r="B9" s="404"/>
      <c r="C9" s="404"/>
      <c r="D9" s="403"/>
      <c r="E9" s="403"/>
      <c r="F9" s="403"/>
      <c r="G9" s="403"/>
      <c r="H9" s="403"/>
      <c r="I9" s="403"/>
      <c r="J9" s="403"/>
      <c r="K9" s="403"/>
      <c r="L9" s="405"/>
    </row>
    <row r="10" spans="1:12" ht="15" customHeight="1">
      <c r="A10" s="404"/>
      <c r="B10" s="404"/>
      <c r="C10" s="404"/>
      <c r="D10" s="403"/>
      <c r="E10" s="403"/>
      <c r="F10" s="403"/>
      <c r="G10" s="403"/>
      <c r="H10" s="403"/>
      <c r="I10" s="403"/>
      <c r="J10" s="403"/>
      <c r="K10" s="403"/>
      <c r="L10" s="405" t="s">
        <v>358</v>
      </c>
    </row>
    <row r="11" spans="1:12" ht="12.75">
      <c r="A11" s="483" t="s">
        <v>359</v>
      </c>
      <c r="B11" s="484" t="s">
        <v>360</v>
      </c>
      <c r="C11" s="487" t="s">
        <v>361</v>
      </c>
      <c r="D11" s="488"/>
      <c r="E11" s="488"/>
      <c r="F11" s="488"/>
      <c r="G11" s="488"/>
      <c r="H11" s="488"/>
      <c r="I11" s="488"/>
      <c r="J11" s="488"/>
      <c r="K11" s="483"/>
      <c r="L11" s="481" t="s">
        <v>362</v>
      </c>
    </row>
    <row r="12" spans="1:12" s="408" customFormat="1" ht="60.75" customHeight="1">
      <c r="A12" s="483"/>
      <c r="B12" s="485"/>
      <c r="C12" s="406" t="s">
        <v>363</v>
      </c>
      <c r="D12" s="407" t="s">
        <v>364</v>
      </c>
      <c r="E12" s="407" t="s">
        <v>365</v>
      </c>
      <c r="F12" s="407" t="s">
        <v>366</v>
      </c>
      <c r="G12" s="407" t="s">
        <v>367</v>
      </c>
      <c r="H12" s="407" t="s">
        <v>368</v>
      </c>
      <c r="I12" s="407" t="s">
        <v>369</v>
      </c>
      <c r="J12" s="407" t="s">
        <v>370</v>
      </c>
      <c r="K12" s="407" t="s">
        <v>371</v>
      </c>
      <c r="L12" s="482"/>
    </row>
    <row r="13" spans="1:12" ht="15" customHeight="1">
      <c r="A13" s="409" t="s">
        <v>372</v>
      </c>
      <c r="B13" s="410">
        <v>169000000</v>
      </c>
      <c r="C13" s="411">
        <v>0</v>
      </c>
      <c r="D13" s="411">
        <v>0</v>
      </c>
      <c r="E13" s="411">
        <v>0</v>
      </c>
      <c r="F13" s="411">
        <v>0</v>
      </c>
      <c r="G13" s="411">
        <v>0</v>
      </c>
      <c r="H13" s="411">
        <v>0</v>
      </c>
      <c r="I13" s="411">
        <v>0</v>
      </c>
      <c r="J13" s="411">
        <v>0</v>
      </c>
      <c r="K13" s="412">
        <f aca="true" t="shared" si="0" ref="K13:K38">SUM(C13:J13)</f>
        <v>0</v>
      </c>
      <c r="L13" s="412">
        <f aca="true" t="shared" si="1" ref="L13:L38">B13-K13</f>
        <v>169000000</v>
      </c>
    </row>
    <row r="14" spans="1:12" ht="15" customHeight="1">
      <c r="A14" s="413" t="s">
        <v>373</v>
      </c>
      <c r="B14" s="410">
        <v>117000000</v>
      </c>
      <c r="C14" s="411">
        <v>0</v>
      </c>
      <c r="D14" s="411">
        <v>0</v>
      </c>
      <c r="E14" s="411">
        <v>0</v>
      </c>
      <c r="F14" s="411">
        <v>0</v>
      </c>
      <c r="G14" s="411">
        <v>0</v>
      </c>
      <c r="H14" s="411">
        <v>0</v>
      </c>
      <c r="I14" s="411">
        <v>0</v>
      </c>
      <c r="J14" s="411">
        <v>0</v>
      </c>
      <c r="K14" s="412">
        <f t="shared" si="0"/>
        <v>0</v>
      </c>
      <c r="L14" s="412">
        <f t="shared" si="1"/>
        <v>117000000</v>
      </c>
    </row>
    <row r="15" spans="1:12" ht="15" customHeight="1">
      <c r="A15" s="413" t="s">
        <v>374</v>
      </c>
      <c r="B15" s="410">
        <v>116000000</v>
      </c>
      <c r="C15" s="411">
        <v>0</v>
      </c>
      <c r="D15" s="411">
        <v>52000000</v>
      </c>
      <c r="E15" s="411">
        <v>32000000</v>
      </c>
      <c r="F15" s="411">
        <v>17000000</v>
      </c>
      <c r="G15" s="411">
        <v>10000000</v>
      </c>
      <c r="H15" s="411">
        <v>5000000</v>
      </c>
      <c r="I15" s="411">
        <v>0</v>
      </c>
      <c r="J15" s="411">
        <v>0</v>
      </c>
      <c r="K15" s="412">
        <f t="shared" si="0"/>
        <v>116000000</v>
      </c>
      <c r="L15" s="412">
        <f t="shared" si="1"/>
        <v>0</v>
      </c>
    </row>
    <row r="16" spans="1:12" ht="15" customHeight="1">
      <c r="A16" s="413" t="s">
        <v>375</v>
      </c>
      <c r="B16" s="410">
        <v>87000000</v>
      </c>
      <c r="C16" s="411">
        <v>0</v>
      </c>
      <c r="D16" s="411">
        <v>8000000</v>
      </c>
      <c r="E16" s="411">
        <v>14940219</v>
      </c>
      <c r="F16" s="411">
        <v>19540000</v>
      </c>
      <c r="G16" s="411">
        <v>1500000</v>
      </c>
      <c r="H16" s="411">
        <v>0</v>
      </c>
      <c r="I16" s="411">
        <v>0</v>
      </c>
      <c r="J16" s="411">
        <v>0</v>
      </c>
      <c r="K16" s="412">
        <f t="shared" si="0"/>
        <v>43980219</v>
      </c>
      <c r="L16" s="412">
        <f t="shared" si="1"/>
        <v>43019781</v>
      </c>
    </row>
    <row r="17" spans="1:12" ht="15" customHeight="1">
      <c r="A17" s="414" t="s">
        <v>376</v>
      </c>
      <c r="B17" s="410">
        <v>89000000</v>
      </c>
      <c r="C17" s="411">
        <v>0</v>
      </c>
      <c r="D17" s="411">
        <v>23621568.08</v>
      </c>
      <c r="E17" s="411">
        <v>4160000</v>
      </c>
      <c r="F17" s="411">
        <v>0</v>
      </c>
      <c r="G17" s="411">
        <v>0</v>
      </c>
      <c r="H17" s="411">
        <v>0</v>
      </c>
      <c r="I17" s="411">
        <v>0</v>
      </c>
      <c r="J17" s="411">
        <v>0</v>
      </c>
      <c r="K17" s="412">
        <f t="shared" si="0"/>
        <v>27781568.08</v>
      </c>
      <c r="L17" s="412">
        <f t="shared" si="1"/>
        <v>61218431.92</v>
      </c>
    </row>
    <row r="18" spans="1:12" ht="15" customHeight="1">
      <c r="A18" s="413" t="s">
        <v>377</v>
      </c>
      <c r="B18" s="410">
        <v>146000000</v>
      </c>
      <c r="C18" s="411">
        <v>0</v>
      </c>
      <c r="D18" s="411">
        <v>78000000</v>
      </c>
      <c r="E18" s="411">
        <v>48000000</v>
      </c>
      <c r="F18" s="411">
        <v>0</v>
      </c>
      <c r="G18" s="411">
        <v>0</v>
      </c>
      <c r="H18" s="411">
        <v>0</v>
      </c>
      <c r="I18" s="411">
        <v>0</v>
      </c>
      <c r="J18" s="411">
        <v>0</v>
      </c>
      <c r="K18" s="412">
        <f t="shared" si="0"/>
        <v>126000000</v>
      </c>
      <c r="L18" s="412">
        <f t="shared" si="1"/>
        <v>20000000</v>
      </c>
    </row>
    <row r="19" spans="1:12" ht="15" customHeight="1">
      <c r="A19" s="413" t="s">
        <v>378</v>
      </c>
      <c r="B19" s="410">
        <v>346000000</v>
      </c>
      <c r="C19" s="411">
        <v>0</v>
      </c>
      <c r="D19" s="411">
        <v>14730000</v>
      </c>
      <c r="E19" s="411">
        <v>16300000</v>
      </c>
      <c r="F19" s="411">
        <v>0</v>
      </c>
      <c r="G19" s="411">
        <v>0</v>
      </c>
      <c r="H19" s="411">
        <v>4000000</v>
      </c>
      <c r="I19" s="411">
        <v>0</v>
      </c>
      <c r="J19" s="411">
        <v>0</v>
      </c>
      <c r="K19" s="412">
        <f t="shared" si="0"/>
        <v>35030000</v>
      </c>
      <c r="L19" s="412">
        <f t="shared" si="1"/>
        <v>310970000</v>
      </c>
    </row>
    <row r="20" spans="1:12" ht="15" customHeight="1">
      <c r="A20" s="413" t="s">
        <v>379</v>
      </c>
      <c r="B20" s="410">
        <v>8000000</v>
      </c>
      <c r="C20" s="411">
        <v>0</v>
      </c>
      <c r="D20" s="411">
        <v>0</v>
      </c>
      <c r="E20" s="411">
        <v>0</v>
      </c>
      <c r="F20" s="411">
        <v>0</v>
      </c>
      <c r="G20" s="411">
        <v>0</v>
      </c>
      <c r="H20" s="411">
        <v>0</v>
      </c>
      <c r="I20" s="411">
        <v>0</v>
      </c>
      <c r="J20" s="411">
        <v>0</v>
      </c>
      <c r="K20" s="412">
        <f t="shared" si="0"/>
        <v>0</v>
      </c>
      <c r="L20" s="412">
        <f t="shared" si="1"/>
        <v>8000000</v>
      </c>
    </row>
    <row r="21" spans="1:12" ht="15" customHeight="1">
      <c r="A21" s="413" t="s">
        <v>380</v>
      </c>
      <c r="B21" s="410">
        <v>48000000</v>
      </c>
      <c r="C21" s="411">
        <v>0</v>
      </c>
      <c r="D21" s="411">
        <v>0</v>
      </c>
      <c r="E21" s="411">
        <v>0</v>
      </c>
      <c r="F21" s="411">
        <v>0</v>
      </c>
      <c r="G21" s="411">
        <v>0</v>
      </c>
      <c r="H21" s="411">
        <v>0</v>
      </c>
      <c r="I21" s="411">
        <v>0</v>
      </c>
      <c r="J21" s="411">
        <v>0</v>
      </c>
      <c r="K21" s="412">
        <f t="shared" si="0"/>
        <v>0</v>
      </c>
      <c r="L21" s="412">
        <f t="shared" si="1"/>
        <v>48000000</v>
      </c>
    </row>
    <row r="22" spans="1:12" ht="15" customHeight="1">
      <c r="A22" s="415" t="s">
        <v>381</v>
      </c>
      <c r="B22" s="410">
        <v>740000000</v>
      </c>
      <c r="C22" s="411">
        <v>0</v>
      </c>
      <c r="D22" s="411">
        <v>0</v>
      </c>
      <c r="E22" s="411">
        <v>0</v>
      </c>
      <c r="F22" s="411">
        <v>0</v>
      </c>
      <c r="G22" s="411">
        <v>0</v>
      </c>
      <c r="H22" s="411">
        <v>0</v>
      </c>
      <c r="I22" s="411">
        <v>0</v>
      </c>
      <c r="J22" s="411">
        <v>0</v>
      </c>
      <c r="K22" s="412">
        <f t="shared" si="0"/>
        <v>0</v>
      </c>
      <c r="L22" s="412">
        <f t="shared" si="1"/>
        <v>740000000</v>
      </c>
    </row>
    <row r="23" spans="1:12" ht="15" customHeight="1">
      <c r="A23" s="413" t="s">
        <v>382</v>
      </c>
      <c r="B23" s="410">
        <v>208000000</v>
      </c>
      <c r="C23" s="411">
        <v>0</v>
      </c>
      <c r="D23" s="411">
        <v>60000000</v>
      </c>
      <c r="E23" s="411">
        <v>35000000</v>
      </c>
      <c r="F23" s="411">
        <v>20000000</v>
      </c>
      <c r="G23" s="411">
        <v>5000000</v>
      </c>
      <c r="H23" s="411">
        <v>45000000</v>
      </c>
      <c r="I23" s="411">
        <v>0</v>
      </c>
      <c r="J23" s="411">
        <v>0</v>
      </c>
      <c r="K23" s="412">
        <f t="shared" si="0"/>
        <v>165000000</v>
      </c>
      <c r="L23" s="412">
        <f t="shared" si="1"/>
        <v>43000000</v>
      </c>
    </row>
    <row r="24" spans="1:12" ht="15" customHeight="1">
      <c r="A24" s="416" t="s">
        <v>383</v>
      </c>
      <c r="B24" s="410">
        <v>287000000</v>
      </c>
      <c r="C24" s="411">
        <v>0</v>
      </c>
      <c r="D24" s="411">
        <v>80000000</v>
      </c>
      <c r="E24" s="411">
        <v>49000000</v>
      </c>
      <c r="F24" s="411">
        <v>27000000</v>
      </c>
      <c r="G24" s="411">
        <v>36600000</v>
      </c>
      <c r="H24" s="411">
        <v>25500000</v>
      </c>
      <c r="I24" s="411">
        <v>0</v>
      </c>
      <c r="J24" s="411">
        <v>0</v>
      </c>
      <c r="K24" s="412">
        <f t="shared" si="0"/>
        <v>218100000</v>
      </c>
      <c r="L24" s="412">
        <f t="shared" si="1"/>
        <v>68900000</v>
      </c>
    </row>
    <row r="25" spans="1:12" ht="15" customHeight="1">
      <c r="A25" s="413" t="s">
        <v>384</v>
      </c>
      <c r="B25" s="410">
        <v>63000000</v>
      </c>
      <c r="C25" s="411">
        <v>0</v>
      </c>
      <c r="D25" s="411">
        <v>4000000</v>
      </c>
      <c r="E25" s="411">
        <v>24377896</v>
      </c>
      <c r="F25" s="411">
        <v>0</v>
      </c>
      <c r="G25" s="411">
        <v>0</v>
      </c>
      <c r="H25" s="411">
        <v>10000000</v>
      </c>
      <c r="I25" s="411">
        <v>0</v>
      </c>
      <c r="J25" s="411">
        <v>0</v>
      </c>
      <c r="K25" s="412">
        <f t="shared" si="0"/>
        <v>38377896</v>
      </c>
      <c r="L25" s="412">
        <f t="shared" si="1"/>
        <v>24622104</v>
      </c>
    </row>
    <row r="26" spans="1:12" ht="15" customHeight="1">
      <c r="A26" s="413" t="s">
        <v>385</v>
      </c>
      <c r="B26" s="410">
        <v>175000000</v>
      </c>
      <c r="C26" s="411">
        <v>0</v>
      </c>
      <c r="D26" s="411">
        <v>36250000</v>
      </c>
      <c r="E26" s="411">
        <v>28750000</v>
      </c>
      <c r="F26" s="411">
        <v>12000000</v>
      </c>
      <c r="G26" s="411">
        <v>4750000</v>
      </c>
      <c r="H26" s="411">
        <v>21132200</v>
      </c>
      <c r="I26" s="411">
        <v>0</v>
      </c>
      <c r="J26" s="411">
        <v>0</v>
      </c>
      <c r="K26" s="412">
        <f t="shared" si="0"/>
        <v>102882200</v>
      </c>
      <c r="L26" s="412">
        <f t="shared" si="1"/>
        <v>72117800</v>
      </c>
    </row>
    <row r="27" spans="1:12" ht="15" customHeight="1">
      <c r="A27" s="414" t="s">
        <v>386</v>
      </c>
      <c r="B27" s="410">
        <v>155000000</v>
      </c>
      <c r="C27" s="411">
        <v>0</v>
      </c>
      <c r="D27" s="411">
        <v>16717721.52</v>
      </c>
      <c r="E27" s="411">
        <v>41000000</v>
      </c>
      <c r="F27" s="411">
        <v>0</v>
      </c>
      <c r="G27" s="411">
        <v>5000000</v>
      </c>
      <c r="H27" s="411">
        <v>0</v>
      </c>
      <c r="I27" s="411">
        <v>0</v>
      </c>
      <c r="J27" s="411">
        <v>0</v>
      </c>
      <c r="K27" s="412">
        <f t="shared" si="0"/>
        <v>62717721.519999996</v>
      </c>
      <c r="L27" s="412">
        <f t="shared" si="1"/>
        <v>92282278.48</v>
      </c>
    </row>
    <row r="28" spans="1:12" ht="15" customHeight="1">
      <c r="A28" s="415" t="s">
        <v>387</v>
      </c>
      <c r="B28" s="410">
        <v>70000000</v>
      </c>
      <c r="C28" s="411">
        <v>0</v>
      </c>
      <c r="D28" s="411">
        <v>30000000</v>
      </c>
      <c r="E28" s="411">
        <v>2500000</v>
      </c>
      <c r="F28" s="411">
        <v>0</v>
      </c>
      <c r="G28" s="411">
        <v>0</v>
      </c>
      <c r="H28" s="411">
        <v>10000000</v>
      </c>
      <c r="I28" s="411">
        <v>0</v>
      </c>
      <c r="J28" s="411">
        <v>0</v>
      </c>
      <c r="K28" s="412">
        <f t="shared" si="0"/>
        <v>42500000</v>
      </c>
      <c r="L28" s="412">
        <f t="shared" si="1"/>
        <v>27500000</v>
      </c>
    </row>
    <row r="29" spans="1:12" ht="15" customHeight="1">
      <c r="A29" s="413" t="s">
        <v>388</v>
      </c>
      <c r="B29" s="410">
        <v>144000000</v>
      </c>
      <c r="C29" s="411">
        <v>0</v>
      </c>
      <c r="D29" s="411">
        <v>40000000</v>
      </c>
      <c r="E29" s="411">
        <v>30000000</v>
      </c>
      <c r="F29" s="411">
        <v>0</v>
      </c>
      <c r="G29" s="411">
        <v>0</v>
      </c>
      <c r="H29" s="411">
        <v>0</v>
      </c>
      <c r="I29" s="411">
        <v>0</v>
      </c>
      <c r="J29" s="411">
        <v>0</v>
      </c>
      <c r="K29" s="412">
        <f t="shared" si="0"/>
        <v>70000000</v>
      </c>
      <c r="L29" s="412">
        <f t="shared" si="1"/>
        <v>74000000</v>
      </c>
    </row>
    <row r="30" spans="1:12" ht="15" customHeight="1">
      <c r="A30" s="409" t="s">
        <v>389</v>
      </c>
      <c r="B30" s="410">
        <v>249000000</v>
      </c>
      <c r="C30" s="411">
        <v>0</v>
      </c>
      <c r="D30" s="411">
        <v>30340098</v>
      </c>
      <c r="E30" s="411">
        <v>26000000</v>
      </c>
      <c r="F30" s="411">
        <v>0</v>
      </c>
      <c r="G30" s="411">
        <v>0</v>
      </c>
      <c r="H30" s="411">
        <v>0</v>
      </c>
      <c r="I30" s="411">
        <v>0</v>
      </c>
      <c r="J30" s="411">
        <v>0</v>
      </c>
      <c r="K30" s="412">
        <f t="shared" si="0"/>
        <v>56340098</v>
      </c>
      <c r="L30" s="412">
        <f t="shared" si="1"/>
        <v>192659902</v>
      </c>
    </row>
    <row r="31" spans="1:12" ht="15" customHeight="1">
      <c r="A31" s="413" t="s">
        <v>390</v>
      </c>
      <c r="B31" s="410">
        <v>91000000</v>
      </c>
      <c r="C31" s="411">
        <v>0</v>
      </c>
      <c r="D31" s="411">
        <v>50000000</v>
      </c>
      <c r="E31" s="411">
        <v>20000000</v>
      </c>
      <c r="F31" s="411">
        <v>0</v>
      </c>
      <c r="G31" s="411">
        <v>0</v>
      </c>
      <c r="H31" s="411">
        <v>0</v>
      </c>
      <c r="I31" s="411">
        <v>0</v>
      </c>
      <c r="J31" s="411">
        <v>0</v>
      </c>
      <c r="K31" s="412">
        <f t="shared" si="0"/>
        <v>70000000</v>
      </c>
      <c r="L31" s="412">
        <f t="shared" si="1"/>
        <v>21000000</v>
      </c>
    </row>
    <row r="32" spans="1:12" ht="15" customHeight="1">
      <c r="A32" s="413" t="s">
        <v>391</v>
      </c>
      <c r="B32" s="410">
        <v>202000000</v>
      </c>
      <c r="C32" s="411">
        <v>0</v>
      </c>
      <c r="D32" s="411">
        <v>67400000</v>
      </c>
      <c r="E32" s="411">
        <v>0</v>
      </c>
      <c r="F32" s="411">
        <v>0</v>
      </c>
      <c r="G32" s="411">
        <v>0</v>
      </c>
      <c r="H32" s="411">
        <v>0</v>
      </c>
      <c r="I32" s="411">
        <v>0</v>
      </c>
      <c r="J32" s="411">
        <v>0</v>
      </c>
      <c r="K32" s="412">
        <f t="shared" si="0"/>
        <v>67400000</v>
      </c>
      <c r="L32" s="412">
        <f t="shared" si="1"/>
        <v>134600000</v>
      </c>
    </row>
    <row r="33" spans="1:12" ht="15" customHeight="1">
      <c r="A33" s="415" t="s">
        <v>392</v>
      </c>
      <c r="B33" s="410">
        <v>120000000</v>
      </c>
      <c r="C33" s="411">
        <v>0</v>
      </c>
      <c r="D33" s="411">
        <v>20000000</v>
      </c>
      <c r="E33" s="411">
        <v>0</v>
      </c>
      <c r="F33" s="411">
        <v>0</v>
      </c>
      <c r="G33" s="411">
        <v>0</v>
      </c>
      <c r="H33" s="411">
        <v>0</v>
      </c>
      <c r="I33" s="411">
        <v>0</v>
      </c>
      <c r="J33" s="411">
        <v>0</v>
      </c>
      <c r="K33" s="412">
        <f t="shared" si="0"/>
        <v>20000000</v>
      </c>
      <c r="L33" s="412">
        <f t="shared" si="1"/>
        <v>100000000</v>
      </c>
    </row>
    <row r="34" spans="1:12" ht="15" customHeight="1">
      <c r="A34" s="415" t="s">
        <v>393</v>
      </c>
      <c r="B34" s="410">
        <v>8000000</v>
      </c>
      <c r="C34" s="411">
        <v>0</v>
      </c>
      <c r="D34" s="411">
        <v>0</v>
      </c>
      <c r="E34" s="411">
        <v>0</v>
      </c>
      <c r="F34" s="411">
        <v>0</v>
      </c>
      <c r="G34" s="411">
        <v>0</v>
      </c>
      <c r="H34" s="411">
        <v>0</v>
      </c>
      <c r="I34" s="411">
        <v>0</v>
      </c>
      <c r="J34" s="411">
        <v>0</v>
      </c>
      <c r="K34" s="412">
        <f t="shared" si="0"/>
        <v>0</v>
      </c>
      <c r="L34" s="412">
        <f t="shared" si="1"/>
        <v>8000000</v>
      </c>
    </row>
    <row r="35" spans="1:12" ht="15" customHeight="1">
      <c r="A35" s="415" t="s">
        <v>394</v>
      </c>
      <c r="B35" s="410">
        <v>3000000</v>
      </c>
      <c r="C35" s="411">
        <v>0</v>
      </c>
      <c r="D35" s="411">
        <v>0</v>
      </c>
      <c r="E35" s="411">
        <v>0</v>
      </c>
      <c r="F35" s="411">
        <v>0</v>
      </c>
      <c r="G35" s="411">
        <v>0</v>
      </c>
      <c r="H35" s="411">
        <v>0</v>
      </c>
      <c r="I35" s="411">
        <v>0</v>
      </c>
      <c r="J35" s="411">
        <v>0</v>
      </c>
      <c r="K35" s="412">
        <f t="shared" si="0"/>
        <v>0</v>
      </c>
      <c r="L35" s="412">
        <f t="shared" si="1"/>
        <v>3000000</v>
      </c>
    </row>
    <row r="36" spans="1:12" ht="15" customHeight="1">
      <c r="A36" s="417" t="s">
        <v>395</v>
      </c>
      <c r="B36" s="410">
        <v>65000000</v>
      </c>
      <c r="C36" s="411">
        <v>0</v>
      </c>
      <c r="D36" s="411">
        <v>0</v>
      </c>
      <c r="E36" s="411">
        <v>0</v>
      </c>
      <c r="F36" s="411">
        <v>0</v>
      </c>
      <c r="G36" s="411">
        <v>0</v>
      </c>
      <c r="H36" s="411">
        <v>0</v>
      </c>
      <c r="I36" s="411">
        <v>0</v>
      </c>
      <c r="J36" s="411">
        <v>0</v>
      </c>
      <c r="K36" s="412">
        <f t="shared" si="0"/>
        <v>0</v>
      </c>
      <c r="L36" s="412">
        <f t="shared" si="1"/>
        <v>65000000</v>
      </c>
    </row>
    <row r="37" spans="1:12" ht="15" customHeight="1">
      <c r="A37" s="415" t="s">
        <v>396</v>
      </c>
      <c r="B37" s="410">
        <v>30000000</v>
      </c>
      <c r="C37" s="411">
        <v>0</v>
      </c>
      <c r="D37" s="411">
        <v>0</v>
      </c>
      <c r="E37" s="411">
        <v>0</v>
      </c>
      <c r="F37" s="411">
        <v>0</v>
      </c>
      <c r="G37" s="411">
        <v>0</v>
      </c>
      <c r="H37" s="411">
        <v>0</v>
      </c>
      <c r="I37" s="411">
        <v>0</v>
      </c>
      <c r="J37" s="411">
        <v>0</v>
      </c>
      <c r="K37" s="412">
        <f t="shared" si="0"/>
        <v>0</v>
      </c>
      <c r="L37" s="412">
        <f t="shared" si="1"/>
        <v>30000000</v>
      </c>
    </row>
    <row r="38" spans="1:12" ht="15" customHeight="1">
      <c r="A38" s="418" t="s">
        <v>397</v>
      </c>
      <c r="B38" s="410">
        <v>40000000</v>
      </c>
      <c r="C38" s="411">
        <v>0</v>
      </c>
      <c r="D38" s="411">
        <v>10000000</v>
      </c>
      <c r="E38" s="411">
        <v>0</v>
      </c>
      <c r="F38" s="411">
        <v>0</v>
      </c>
      <c r="G38" s="411">
        <v>0</v>
      </c>
      <c r="H38" s="411">
        <v>0</v>
      </c>
      <c r="I38" s="411">
        <v>0</v>
      </c>
      <c r="J38" s="411">
        <v>0</v>
      </c>
      <c r="K38" s="412">
        <f t="shared" si="0"/>
        <v>10000000</v>
      </c>
      <c r="L38" s="412">
        <f t="shared" si="1"/>
        <v>30000000</v>
      </c>
    </row>
    <row r="39" spans="1:12" ht="18.75" customHeight="1">
      <c r="A39" s="419" t="s">
        <v>119</v>
      </c>
      <c r="B39" s="420">
        <f aca="true" t="shared" si="2" ref="B39:L39">SUM(B13:B38)</f>
        <v>3776000000</v>
      </c>
      <c r="C39" s="421">
        <f t="shared" si="2"/>
        <v>0</v>
      </c>
      <c r="D39" s="421">
        <f t="shared" si="2"/>
        <v>621059387.5999999</v>
      </c>
      <c r="E39" s="421">
        <f t="shared" si="2"/>
        <v>372028115</v>
      </c>
      <c r="F39" s="421">
        <f t="shared" si="2"/>
        <v>95540000</v>
      </c>
      <c r="G39" s="421">
        <f t="shared" si="2"/>
        <v>62850000</v>
      </c>
      <c r="H39" s="421">
        <f t="shared" si="2"/>
        <v>120632200</v>
      </c>
      <c r="I39" s="421">
        <f t="shared" si="2"/>
        <v>0</v>
      </c>
      <c r="J39" s="421">
        <f t="shared" si="2"/>
        <v>0</v>
      </c>
      <c r="K39" s="422">
        <f t="shared" si="2"/>
        <v>1272109702.6</v>
      </c>
      <c r="L39" s="422">
        <f t="shared" si="2"/>
        <v>2503890297.4</v>
      </c>
    </row>
    <row r="40" spans="1:12" ht="13.5" customHeight="1">
      <c r="A40" s="404" t="s">
        <v>398</v>
      </c>
      <c r="B40" s="404"/>
      <c r="C40" s="404"/>
      <c r="D40" s="423"/>
      <c r="E40" s="47"/>
      <c r="F40" s="47"/>
      <c r="G40" s="47"/>
      <c r="H40" s="47"/>
      <c r="I40" s="47"/>
      <c r="J40" s="47"/>
      <c r="K40" s="424"/>
      <c r="L40" s="424"/>
    </row>
    <row r="45" ht="12.75">
      <c r="B45" s="425"/>
    </row>
    <row r="46" ht="12.75">
      <c r="B46" s="425"/>
    </row>
    <row r="47" ht="12.75">
      <c r="B47" s="425"/>
    </row>
    <row r="48" ht="12.75">
      <c r="E48" s="425"/>
    </row>
    <row r="49" ht="12.75">
      <c r="E49" s="425"/>
    </row>
    <row r="50" ht="12.75">
      <c r="E50" s="425"/>
    </row>
  </sheetData>
  <sheetProtection/>
  <mergeCells count="9">
    <mergeCell ref="A1:L1"/>
    <mergeCell ref="L11:L12"/>
    <mergeCell ref="A11:A12"/>
    <mergeCell ref="B11:B12"/>
    <mergeCell ref="A2:L2"/>
    <mergeCell ref="A3:L3"/>
    <mergeCell ref="A5:L5"/>
    <mergeCell ref="A7:L7"/>
    <mergeCell ref="C11:K11"/>
  </mergeCells>
  <printOptions horizontalCentered="1"/>
  <pageMargins left="0.1968503937007874" right="0.1968503937007874" top="0.1968503937007874" bottom="0.1968503937007874" header="0.5118110236220472" footer="0.1968503937007874"/>
  <pageSetup orientation="landscape" paperSize="9" scale="70" r:id="rId1"/>
  <ignoredErrors>
    <ignoredError sqref="K13:K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1" sqref="A21"/>
    </sheetView>
  </sheetViews>
  <sheetFormatPr defaultColWidth="9.140625" defaultRowHeight="12.75"/>
  <cols>
    <col min="1" max="1" width="12.7109375" style="378" customWidth="1"/>
    <col min="2" max="8" width="11.7109375" style="378" customWidth="1"/>
    <col min="9" max="16384" width="9.140625" style="378" customWidth="1"/>
  </cols>
  <sheetData>
    <row r="1" spans="1:8" ht="15" customHeight="1">
      <c r="A1" s="491" t="s">
        <v>77</v>
      </c>
      <c r="B1" s="491"/>
      <c r="C1" s="491"/>
      <c r="D1" s="491"/>
      <c r="E1" s="491"/>
      <c r="F1" s="491"/>
      <c r="G1" s="491"/>
      <c r="H1" s="491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 s="492" t="s">
        <v>307</v>
      </c>
      <c r="B3" s="492"/>
      <c r="C3" s="492"/>
      <c r="D3" s="492"/>
      <c r="E3" s="492"/>
      <c r="F3" s="492"/>
      <c r="G3" s="492"/>
      <c r="H3" s="492"/>
    </row>
    <row r="4" ht="15" customHeight="1"/>
    <row r="5" spans="1:8" ht="15" customHeight="1">
      <c r="A5" s="493" t="s">
        <v>297</v>
      </c>
      <c r="B5" s="493"/>
      <c r="C5" s="493"/>
      <c r="D5" s="493"/>
      <c r="E5" s="493"/>
      <c r="F5" s="493"/>
      <c r="G5" s="493"/>
      <c r="H5" s="493"/>
    </row>
    <row r="6" spans="1:8" ht="15" customHeight="1">
      <c r="A6" s="379"/>
      <c r="B6" s="379"/>
      <c r="C6" s="379"/>
      <c r="D6" s="379"/>
      <c r="E6" s="379"/>
      <c r="F6" s="379"/>
      <c r="G6" s="379"/>
      <c r="H6" s="379"/>
    </row>
    <row r="7" spans="1:8" ht="15" customHeight="1">
      <c r="A7" s="493" t="s">
        <v>123</v>
      </c>
      <c r="B7" s="493"/>
      <c r="C7" s="493"/>
      <c r="D7" s="493"/>
      <c r="E7" s="493"/>
      <c r="F7" s="493"/>
      <c r="G7" s="493"/>
      <c r="H7" s="493"/>
    </row>
    <row r="8" ht="15" customHeight="1"/>
    <row r="9" spans="1:8" ht="19.5" customHeight="1">
      <c r="A9" s="489" t="s">
        <v>298</v>
      </c>
      <c r="B9" s="494" t="s">
        <v>299</v>
      </c>
      <c r="C9" s="495"/>
      <c r="D9" s="496"/>
      <c r="E9" s="494" t="s">
        <v>305</v>
      </c>
      <c r="F9" s="495"/>
      <c r="G9" s="496"/>
      <c r="H9" s="497" t="s">
        <v>300</v>
      </c>
    </row>
    <row r="10" spans="1:8" ht="19.5" customHeight="1">
      <c r="A10" s="490"/>
      <c r="B10" s="380" t="s">
        <v>23</v>
      </c>
      <c r="C10" s="380" t="s">
        <v>26</v>
      </c>
      <c r="D10" s="380" t="s">
        <v>301</v>
      </c>
      <c r="E10" s="380" t="s">
        <v>302</v>
      </c>
      <c r="F10" s="380" t="s">
        <v>303</v>
      </c>
      <c r="G10" s="380" t="s">
        <v>301</v>
      </c>
      <c r="H10" s="498"/>
    </row>
    <row r="11" spans="1:8" ht="19.5" customHeight="1">
      <c r="A11" s="399">
        <v>2004</v>
      </c>
      <c r="B11" s="381">
        <v>7723</v>
      </c>
      <c r="C11" s="381">
        <v>783</v>
      </c>
      <c r="D11" s="381">
        <f aca="true" t="shared" si="0" ref="D11:D20">SUM(B11:C11)</f>
        <v>8506</v>
      </c>
      <c r="E11" s="381">
        <v>4290</v>
      </c>
      <c r="F11" s="381">
        <v>454</v>
      </c>
      <c r="G11" s="381">
        <f aca="true" t="shared" si="1" ref="G11:G20">SUM(E11:F11)</f>
        <v>4744</v>
      </c>
      <c r="H11" s="381">
        <f aca="true" t="shared" si="2" ref="H11:H20">D11+G11</f>
        <v>13250</v>
      </c>
    </row>
    <row r="12" spans="1:8" ht="19.5" customHeight="1">
      <c r="A12" s="400">
        <v>2005</v>
      </c>
      <c r="B12" s="381">
        <v>10872</v>
      </c>
      <c r="C12" s="381">
        <v>1172</v>
      </c>
      <c r="D12" s="381">
        <f t="shared" si="0"/>
        <v>12044</v>
      </c>
      <c r="E12" s="381">
        <v>3191</v>
      </c>
      <c r="F12" s="381">
        <v>182</v>
      </c>
      <c r="G12" s="381">
        <f t="shared" si="1"/>
        <v>3373</v>
      </c>
      <c r="H12" s="381">
        <f t="shared" si="2"/>
        <v>15417</v>
      </c>
    </row>
    <row r="13" spans="1:8" ht="19.5" customHeight="1">
      <c r="A13" s="400">
        <v>2006</v>
      </c>
      <c r="B13" s="381">
        <f>9278</f>
        <v>9278</v>
      </c>
      <c r="C13" s="381">
        <v>446</v>
      </c>
      <c r="D13" s="381">
        <f t="shared" si="0"/>
        <v>9724</v>
      </c>
      <c r="E13" s="381">
        <v>1949</v>
      </c>
      <c r="F13" s="381">
        <v>182</v>
      </c>
      <c r="G13" s="381">
        <f t="shared" si="1"/>
        <v>2131</v>
      </c>
      <c r="H13" s="381">
        <f t="shared" si="2"/>
        <v>11855</v>
      </c>
    </row>
    <row r="14" spans="1:8" ht="19.5" customHeight="1">
      <c r="A14" s="400">
        <v>2007</v>
      </c>
      <c r="B14" s="381">
        <f>16781</f>
        <v>16781</v>
      </c>
      <c r="C14" s="381">
        <v>803</v>
      </c>
      <c r="D14" s="381">
        <f t="shared" si="0"/>
        <v>17584</v>
      </c>
      <c r="E14" s="381">
        <v>704</v>
      </c>
      <c r="F14" s="381">
        <v>182</v>
      </c>
      <c r="G14" s="381">
        <f t="shared" si="1"/>
        <v>886</v>
      </c>
      <c r="H14" s="381">
        <f t="shared" si="2"/>
        <v>18470</v>
      </c>
    </row>
    <row r="15" spans="1:8" ht="19.5" customHeight="1">
      <c r="A15" s="400">
        <v>2008</v>
      </c>
      <c r="B15" s="381">
        <v>11490</v>
      </c>
      <c r="C15" s="381">
        <v>1013</v>
      </c>
      <c r="D15" s="381">
        <f t="shared" si="0"/>
        <v>12503</v>
      </c>
      <c r="E15" s="381">
        <v>521</v>
      </c>
      <c r="F15" s="381">
        <v>178</v>
      </c>
      <c r="G15" s="381">
        <f t="shared" si="1"/>
        <v>699</v>
      </c>
      <c r="H15" s="381">
        <f t="shared" si="2"/>
        <v>13202</v>
      </c>
    </row>
    <row r="16" spans="1:8" ht="19.5" customHeight="1">
      <c r="A16" s="400">
        <v>2009</v>
      </c>
      <c r="B16" s="381">
        <v>14005</v>
      </c>
      <c r="C16" s="381">
        <v>651</v>
      </c>
      <c r="D16" s="381">
        <f t="shared" si="0"/>
        <v>14656</v>
      </c>
      <c r="E16" s="381">
        <v>494</v>
      </c>
      <c r="F16" s="381">
        <v>616</v>
      </c>
      <c r="G16" s="381">
        <f t="shared" si="1"/>
        <v>1110</v>
      </c>
      <c r="H16" s="381">
        <f t="shared" si="2"/>
        <v>15766</v>
      </c>
    </row>
    <row r="17" spans="1:8" ht="19.5" customHeight="1">
      <c r="A17" s="400">
        <v>2010</v>
      </c>
      <c r="B17" s="381">
        <v>8245</v>
      </c>
      <c r="C17" s="381">
        <v>699</v>
      </c>
      <c r="D17" s="381">
        <f t="shared" si="0"/>
        <v>8944</v>
      </c>
      <c r="E17" s="381">
        <v>506</v>
      </c>
      <c r="F17" s="381">
        <v>1648</v>
      </c>
      <c r="G17" s="381">
        <f t="shared" si="1"/>
        <v>2154</v>
      </c>
      <c r="H17" s="381">
        <f t="shared" si="2"/>
        <v>11098</v>
      </c>
    </row>
    <row r="18" spans="1:8" ht="19.5" customHeight="1">
      <c r="A18" s="400">
        <v>2011</v>
      </c>
      <c r="B18" s="381">
        <v>8233</v>
      </c>
      <c r="C18" s="381">
        <v>1005</v>
      </c>
      <c r="D18" s="381">
        <f t="shared" si="0"/>
        <v>9238</v>
      </c>
      <c r="E18" s="381">
        <v>487</v>
      </c>
      <c r="F18" s="381">
        <v>1615</v>
      </c>
      <c r="G18" s="381">
        <f t="shared" si="1"/>
        <v>2102</v>
      </c>
      <c r="H18" s="381">
        <f t="shared" si="2"/>
        <v>11340</v>
      </c>
    </row>
    <row r="19" spans="1:8" ht="19.5" customHeight="1">
      <c r="A19" s="400">
        <v>2012</v>
      </c>
      <c r="B19" s="381">
        <v>7722</v>
      </c>
      <c r="C19" s="381">
        <v>693</v>
      </c>
      <c r="D19" s="381">
        <f t="shared" si="0"/>
        <v>8415</v>
      </c>
      <c r="E19" s="381">
        <v>33.419</v>
      </c>
      <c r="F19" s="381">
        <v>1614.56</v>
      </c>
      <c r="G19" s="381">
        <f t="shared" si="1"/>
        <v>1647.979</v>
      </c>
      <c r="H19" s="381">
        <f t="shared" si="2"/>
        <v>10062.979</v>
      </c>
    </row>
    <row r="20" spans="1:8" ht="19.5" customHeight="1">
      <c r="A20" s="400">
        <v>2013</v>
      </c>
      <c r="B20" s="381">
        <v>12366</v>
      </c>
      <c r="C20" s="381">
        <v>1572</v>
      </c>
      <c r="D20" s="381">
        <f t="shared" si="0"/>
        <v>13938</v>
      </c>
      <c r="E20" s="381">
        <v>33.419</v>
      </c>
      <c r="F20" s="386">
        <v>1619.6645166666665</v>
      </c>
      <c r="G20" s="381">
        <f t="shared" si="1"/>
        <v>1653.0835166666666</v>
      </c>
      <c r="H20" s="381">
        <f t="shared" si="2"/>
        <v>15591.083516666666</v>
      </c>
    </row>
    <row r="21" spans="1:8" ht="19.5" customHeight="1">
      <c r="A21" s="400">
        <v>2014</v>
      </c>
      <c r="B21" s="386">
        <v>14163</v>
      </c>
      <c r="C21" s="386">
        <v>1055</v>
      </c>
      <c r="D21" s="381">
        <f>SUM(B21:C21)</f>
        <v>15218</v>
      </c>
      <c r="E21" s="381">
        <v>33.419</v>
      </c>
      <c r="F21" s="386">
        <v>1619.6645166666665</v>
      </c>
      <c r="G21" s="381">
        <f>SUM(E21:F21)</f>
        <v>1653.0835166666666</v>
      </c>
      <c r="H21" s="381">
        <f>D21+G21</f>
        <v>16871.083516666666</v>
      </c>
    </row>
    <row r="22" spans="1:4" ht="19.5" customHeight="1">
      <c r="A22" s="382" t="s">
        <v>304</v>
      </c>
      <c r="C22" s="383"/>
      <c r="D22" s="383"/>
    </row>
    <row r="23" ht="19.5" customHeight="1">
      <c r="A23" s="384" t="s">
        <v>306</v>
      </c>
    </row>
    <row r="24" ht="12.75">
      <c r="A24" s="385"/>
    </row>
    <row r="25" ht="12.75">
      <c r="A25" s="385"/>
    </row>
    <row r="26" ht="18.75" customHeight="1"/>
    <row r="27" ht="12" customHeight="1"/>
    <row r="28" ht="15" customHeight="1"/>
    <row r="30" ht="19.5" customHeight="1"/>
    <row r="31" ht="18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4.2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mergeCells count="8">
    <mergeCell ref="A9:A10"/>
    <mergeCell ref="A1:H1"/>
    <mergeCell ref="A3:H3"/>
    <mergeCell ref="A5:H5"/>
    <mergeCell ref="A7:H7"/>
    <mergeCell ref="B9:D9"/>
    <mergeCell ref="H9:H10"/>
    <mergeCell ref="E9:G9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ignoredErrors>
    <ignoredError sqref="E17:E20 E11 D11:D2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5" sqref="A15"/>
    </sheetView>
  </sheetViews>
  <sheetFormatPr defaultColWidth="11.421875" defaultRowHeight="12.75"/>
  <cols>
    <col min="1" max="1" width="12.28125" style="3" customWidth="1"/>
    <col min="2" max="11" width="9.7109375" style="3" customWidth="1"/>
  </cols>
  <sheetData>
    <row r="1" spans="1:11" ht="15.75">
      <c r="A1" s="499" t="s">
        <v>288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15.7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47"/>
      <c r="B3" s="292"/>
      <c r="C3" s="292"/>
      <c r="D3" s="292"/>
      <c r="E3" s="292"/>
      <c r="F3" s="292"/>
      <c r="G3" s="292"/>
      <c r="H3" s="47"/>
      <c r="I3" s="47"/>
      <c r="J3" s="297"/>
      <c r="K3" s="293" t="s">
        <v>40</v>
      </c>
    </row>
    <row r="4" spans="1:11" ht="12.75">
      <c r="A4" s="294"/>
      <c r="B4" s="314">
        <v>2013</v>
      </c>
      <c r="C4" s="310">
        <v>2014</v>
      </c>
      <c r="D4" s="314">
        <v>2013</v>
      </c>
      <c r="E4" s="310">
        <v>2014</v>
      </c>
      <c r="F4" s="314">
        <v>2013</v>
      </c>
      <c r="G4" s="310">
        <v>2014</v>
      </c>
      <c r="H4" s="314">
        <v>2013</v>
      </c>
      <c r="I4" s="310">
        <v>2014</v>
      </c>
      <c r="J4" s="314">
        <v>2013</v>
      </c>
      <c r="K4" s="310">
        <v>2014</v>
      </c>
    </row>
    <row r="5" spans="1:11" ht="12.75">
      <c r="A5" s="300" t="s">
        <v>36</v>
      </c>
      <c r="B5" s="506" t="s">
        <v>41</v>
      </c>
      <c r="C5" s="507"/>
      <c r="D5" s="313" t="s">
        <v>133</v>
      </c>
      <c r="E5" s="313"/>
      <c r="F5" s="298" t="s">
        <v>25</v>
      </c>
      <c r="G5" s="299"/>
      <c r="H5" s="315" t="s">
        <v>23</v>
      </c>
      <c r="I5" s="315"/>
      <c r="J5" s="300" t="s">
        <v>85</v>
      </c>
      <c r="K5" s="301"/>
    </row>
    <row r="6" spans="1:11" ht="12.75">
      <c r="A6" s="311"/>
      <c r="B6" s="506" t="s">
        <v>37</v>
      </c>
      <c r="C6" s="507"/>
      <c r="D6" s="505" t="s">
        <v>134</v>
      </c>
      <c r="E6" s="505"/>
      <c r="F6" s="300" t="s">
        <v>289</v>
      </c>
      <c r="G6" s="301"/>
      <c r="H6" s="315" t="s">
        <v>290</v>
      </c>
      <c r="I6" s="315"/>
      <c r="J6" s="300" t="s">
        <v>130</v>
      </c>
      <c r="K6" s="301"/>
    </row>
    <row r="7" spans="1:11" ht="12.75">
      <c r="A7" s="312"/>
      <c r="B7" s="500" t="s">
        <v>131</v>
      </c>
      <c r="C7" s="501"/>
      <c r="D7" s="504" t="s">
        <v>135</v>
      </c>
      <c r="E7" s="504"/>
      <c r="F7" s="502" t="s">
        <v>95</v>
      </c>
      <c r="G7" s="503"/>
      <c r="H7" s="504" t="s">
        <v>96</v>
      </c>
      <c r="I7" s="504"/>
      <c r="J7" s="500" t="s">
        <v>96</v>
      </c>
      <c r="K7" s="501"/>
    </row>
    <row r="8" spans="1:11" ht="12.75">
      <c r="A8" s="178" t="s">
        <v>24</v>
      </c>
      <c r="B8" s="179">
        <v>341.16</v>
      </c>
      <c r="C8" s="179">
        <v>289.44</v>
      </c>
      <c r="D8" s="179">
        <v>267.21454545454543</v>
      </c>
      <c r="E8" s="179">
        <v>226.82</v>
      </c>
      <c r="F8" s="179">
        <v>308.45454545454544</v>
      </c>
      <c r="G8" s="179">
        <v>244.45</v>
      </c>
      <c r="H8" s="179">
        <v>271.1363636363636</v>
      </c>
      <c r="I8" s="179">
        <v>214.09</v>
      </c>
      <c r="J8" s="179">
        <v>260.6818181818182</v>
      </c>
      <c r="K8" s="179">
        <v>231.82</v>
      </c>
    </row>
    <row r="9" spans="1:11" ht="12.75">
      <c r="A9" s="178" t="s">
        <v>27</v>
      </c>
      <c r="B9" s="179">
        <v>317.72</v>
      </c>
      <c r="C9" s="179">
        <v>366.32</v>
      </c>
      <c r="D9" s="179">
        <v>264.98</v>
      </c>
      <c r="E9" s="179">
        <v>243.48</v>
      </c>
      <c r="F9" s="179">
        <v>303.33</v>
      </c>
      <c r="G9" s="179">
        <v>268.5</v>
      </c>
      <c r="H9" s="179">
        <v>275</v>
      </c>
      <c r="I9" s="179">
        <v>236.25</v>
      </c>
      <c r="J9" s="179">
        <v>265</v>
      </c>
      <c r="K9" s="179">
        <v>243</v>
      </c>
    </row>
    <row r="10" spans="1:11" ht="12.75">
      <c r="A10" s="178" t="s">
        <v>38</v>
      </c>
      <c r="B10" s="179">
        <v>303.42</v>
      </c>
      <c r="C10" s="179">
        <v>437.24</v>
      </c>
      <c r="D10" s="179">
        <v>253.2</v>
      </c>
      <c r="E10" s="179">
        <v>263.25</v>
      </c>
      <c r="F10" s="179">
        <v>289.25</v>
      </c>
      <c r="G10" s="179">
        <v>332.63</v>
      </c>
      <c r="H10" s="179">
        <v>269.95</v>
      </c>
      <c r="I10" s="179">
        <v>288.68</v>
      </c>
      <c r="J10" s="179">
        <v>261</v>
      </c>
      <c r="K10" s="179">
        <v>282.37</v>
      </c>
    </row>
    <row r="11" spans="1:11" ht="12.75">
      <c r="A11" s="178" t="s">
        <v>28</v>
      </c>
      <c r="B11" s="179">
        <v>300.51</v>
      </c>
      <c r="C11" s="179">
        <v>449.45</v>
      </c>
      <c r="D11" s="179">
        <v>250.32</v>
      </c>
      <c r="E11" s="179">
        <v>256.77</v>
      </c>
      <c r="F11" s="179">
        <v>280</v>
      </c>
      <c r="G11" s="179">
        <v>329.5</v>
      </c>
      <c r="H11" s="179">
        <v>262</v>
      </c>
      <c r="I11" s="179">
        <v>278</v>
      </c>
      <c r="J11" s="179">
        <v>255</v>
      </c>
      <c r="K11" s="179">
        <v>265</v>
      </c>
    </row>
    <row r="12" spans="1:11" ht="12.75">
      <c r="A12" s="178" t="s">
        <v>0</v>
      </c>
      <c r="B12" s="179">
        <v>297.25</v>
      </c>
      <c r="C12" s="179">
        <v>429.28</v>
      </c>
      <c r="D12" s="179">
        <v>250.88</v>
      </c>
      <c r="E12" s="179">
        <v>245.82</v>
      </c>
      <c r="F12" s="179">
        <v>283.43</v>
      </c>
      <c r="G12" s="179">
        <v>342.14</v>
      </c>
      <c r="H12" s="179">
        <v>264.52</v>
      </c>
      <c r="I12" s="179">
        <v>279.05</v>
      </c>
      <c r="J12" s="179">
        <v>244.76</v>
      </c>
      <c r="K12" s="179">
        <v>258.1</v>
      </c>
    </row>
    <row r="13" spans="1:11" ht="12.75">
      <c r="A13" s="178" t="s">
        <v>29</v>
      </c>
      <c r="B13" s="179">
        <v>285.71</v>
      </c>
      <c r="C13" s="179">
        <v>396.74</v>
      </c>
      <c r="D13" s="179">
        <v>245.09</v>
      </c>
      <c r="E13" s="179">
        <v>235.14</v>
      </c>
      <c r="F13" s="179">
        <v>278</v>
      </c>
      <c r="G13" s="179">
        <v>318</v>
      </c>
      <c r="H13" s="179">
        <v>263</v>
      </c>
      <c r="I13" s="179">
        <v>262.25</v>
      </c>
      <c r="J13" s="179">
        <v>241.2</v>
      </c>
      <c r="K13" s="179">
        <v>241.2</v>
      </c>
    </row>
    <row r="14" spans="1:11" ht="12.75">
      <c r="A14" s="178" t="s">
        <v>30</v>
      </c>
      <c r="B14" s="179">
        <v>287.57</v>
      </c>
      <c r="C14" s="179">
        <v>387.87</v>
      </c>
      <c r="D14" s="179">
        <v>248.91</v>
      </c>
      <c r="E14" s="179">
        <v>242.44</v>
      </c>
      <c r="F14" s="179">
        <v>272</v>
      </c>
      <c r="G14" s="179">
        <v>300.43</v>
      </c>
      <c r="H14" s="179">
        <v>258</v>
      </c>
      <c r="I14" s="179">
        <v>243.91</v>
      </c>
      <c r="J14" s="179">
        <v>240</v>
      </c>
      <c r="K14" s="179">
        <v>239.48</v>
      </c>
    </row>
    <row r="15" spans="1:11" ht="12.75">
      <c r="A15" s="178" t="s">
        <v>31</v>
      </c>
      <c r="B15" s="179">
        <v>286.17</v>
      </c>
      <c r="C15" s="179">
        <v>437.19</v>
      </c>
      <c r="D15" s="179">
        <v>253.22</v>
      </c>
      <c r="E15" s="179">
        <v>248.42</v>
      </c>
      <c r="F15" s="179">
        <v>272</v>
      </c>
      <c r="G15" s="179">
        <v>315.71</v>
      </c>
      <c r="H15" s="179">
        <v>258</v>
      </c>
      <c r="I15" s="179">
        <v>272.86</v>
      </c>
      <c r="J15" s="179">
        <v>240</v>
      </c>
      <c r="K15" s="179">
        <v>251.43</v>
      </c>
    </row>
    <row r="16" spans="1:11" ht="12.75">
      <c r="A16" s="178" t="s">
        <v>32</v>
      </c>
      <c r="B16" s="179">
        <v>273.9</v>
      </c>
      <c r="C16" s="179"/>
      <c r="D16" s="179">
        <v>236.24</v>
      </c>
      <c r="E16" s="179"/>
      <c r="F16" s="179">
        <v>258.57</v>
      </c>
      <c r="G16" s="179"/>
      <c r="H16" s="179">
        <v>230.81</v>
      </c>
      <c r="I16" s="179"/>
      <c r="J16" s="179">
        <v>240.95</v>
      </c>
      <c r="K16" s="179"/>
    </row>
    <row r="17" spans="1:11" ht="12.75">
      <c r="A17" s="178" t="s">
        <v>33</v>
      </c>
      <c r="B17" s="179">
        <v>253.94</v>
      </c>
      <c r="C17" s="179"/>
      <c r="D17" s="179">
        <v>205.23</v>
      </c>
      <c r="E17" s="179"/>
      <c r="F17" s="179">
        <v>243.48</v>
      </c>
      <c r="G17" s="179"/>
      <c r="H17" s="179">
        <v>197.22</v>
      </c>
      <c r="I17" s="179"/>
      <c r="J17" s="179">
        <v>240.43</v>
      </c>
      <c r="K17" s="179"/>
    </row>
    <row r="18" spans="1:11" ht="12.75">
      <c r="A18" s="178" t="s">
        <v>34</v>
      </c>
      <c r="B18" s="179">
        <v>247.73</v>
      </c>
      <c r="C18" s="179"/>
      <c r="D18" s="179">
        <v>198.83</v>
      </c>
      <c r="E18" s="179"/>
      <c r="F18" s="179">
        <v>224</v>
      </c>
      <c r="G18" s="179"/>
      <c r="H18" s="179">
        <v>183</v>
      </c>
      <c r="I18" s="179"/>
      <c r="J18" s="179">
        <v>202.5</v>
      </c>
      <c r="K18" s="179"/>
    </row>
    <row r="19" spans="1:11" ht="12.75">
      <c r="A19" s="178" t="s">
        <v>35</v>
      </c>
      <c r="B19" s="179">
        <v>272.1</v>
      </c>
      <c r="C19" s="179"/>
      <c r="D19" s="179">
        <v>223.11</v>
      </c>
      <c r="E19" s="179"/>
      <c r="F19" s="179">
        <v>225.26</v>
      </c>
      <c r="G19" s="179"/>
      <c r="H19" s="179">
        <v>179.47</v>
      </c>
      <c r="I19" s="179"/>
      <c r="J19" s="179">
        <v>207.63</v>
      </c>
      <c r="K19" s="179"/>
    </row>
    <row r="20" spans="1:11" ht="12.75">
      <c r="A20" s="118" t="s">
        <v>39</v>
      </c>
      <c r="B20" s="180">
        <f aca="true" t="shared" si="0" ref="B20:K20">AVERAGE(B8:B19)</f>
        <v>288.9316666666667</v>
      </c>
      <c r="C20" s="181">
        <f>AVERAGE(C8:C19)</f>
        <v>399.19125</v>
      </c>
      <c r="D20" s="180">
        <f t="shared" si="0"/>
        <v>241.4353787878788</v>
      </c>
      <c r="E20" s="180">
        <f t="shared" si="0"/>
        <v>245.26749999999998</v>
      </c>
      <c r="F20" s="181">
        <f t="shared" si="0"/>
        <v>269.81454545454545</v>
      </c>
      <c r="G20" s="181">
        <f t="shared" si="0"/>
        <v>306.41999999999996</v>
      </c>
      <c r="H20" s="181">
        <f t="shared" si="0"/>
        <v>242.67553030303023</v>
      </c>
      <c r="I20" s="181">
        <f t="shared" si="0"/>
        <v>259.38625</v>
      </c>
      <c r="J20" s="181">
        <f t="shared" si="0"/>
        <v>241.59598484848485</v>
      </c>
      <c r="K20" s="182">
        <f t="shared" si="0"/>
        <v>251.55</v>
      </c>
    </row>
    <row r="21" spans="1:11" ht="12.75">
      <c r="A21" s="302" t="s">
        <v>136</v>
      </c>
      <c r="B21" s="303"/>
      <c r="C21" s="303"/>
      <c r="D21" s="303"/>
      <c r="E21" s="303"/>
      <c r="F21" s="304"/>
      <c r="G21" s="303"/>
      <c r="H21" s="304"/>
      <c r="I21" s="303"/>
      <c r="J21" s="304"/>
      <c r="K21" s="303"/>
    </row>
    <row r="22" spans="1:7" ht="12.75">
      <c r="A22" s="7" t="s">
        <v>219</v>
      </c>
      <c r="B22" s="305"/>
      <c r="C22" s="305"/>
      <c r="D22" s="305"/>
      <c r="E22" s="305"/>
      <c r="F22" s="306"/>
      <c r="G22" s="307"/>
    </row>
    <row r="23" spans="1:7" ht="12.75">
      <c r="A23" s="307"/>
      <c r="B23" s="308"/>
      <c r="C23" s="309"/>
      <c r="D23" s="309"/>
      <c r="E23" s="309"/>
      <c r="F23" s="309"/>
      <c r="G23" s="307"/>
    </row>
    <row r="24" spans="1:7" ht="12.75">
      <c r="A24" s="307"/>
      <c r="B24" s="307"/>
      <c r="C24" s="307"/>
      <c r="D24" s="307"/>
      <c r="E24" s="307"/>
      <c r="F24" s="307"/>
      <c r="G24" s="307"/>
    </row>
    <row r="41" ht="12.75">
      <c r="K41" s="12"/>
    </row>
    <row r="42" ht="12.75">
      <c r="K42" s="13"/>
    </row>
    <row r="43" ht="12.75">
      <c r="K43" s="13"/>
    </row>
    <row r="55" spans="9:11" ht="12.75">
      <c r="I55" s="12"/>
      <c r="J55" s="12"/>
      <c r="K55" s="12"/>
    </row>
    <row r="56" spans="9:11" ht="12.75">
      <c r="I56" s="12"/>
      <c r="J56" s="12"/>
      <c r="K56" s="12"/>
    </row>
    <row r="57" spans="9:11" ht="12.75">
      <c r="I57" s="13"/>
      <c r="J57" s="13"/>
      <c r="K57" s="13"/>
    </row>
    <row r="58" spans="9:11" ht="12.75">
      <c r="I58" s="13"/>
      <c r="J58" s="13"/>
      <c r="K58" s="13"/>
    </row>
  </sheetData>
  <sheetProtection/>
  <mergeCells count="9">
    <mergeCell ref="A1:K1"/>
    <mergeCell ref="B7:C7"/>
    <mergeCell ref="F7:G7"/>
    <mergeCell ref="H7:I7"/>
    <mergeCell ref="J7:K7"/>
    <mergeCell ref="D7:E7"/>
    <mergeCell ref="D6:E6"/>
    <mergeCell ref="B5:C5"/>
    <mergeCell ref="B6:C6"/>
  </mergeCells>
  <printOptions horizontalCentered="1"/>
  <pageMargins left="0.11811023622047245" right="0.11811023622047245" top="0.3937007874015748" bottom="0.5905511811023623" header="0.5118110236220472" footer="0.5118110236220472"/>
  <pageSetup horizontalDpi="360" verticalDpi="36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showGridLines="0" workbookViewId="0" topLeftCell="A1">
      <selection activeCell="A10" sqref="A10:B11"/>
    </sheetView>
  </sheetViews>
  <sheetFormatPr defaultColWidth="9.140625" defaultRowHeight="12.75"/>
  <cols>
    <col min="1" max="1" width="2.57421875" style="260" customWidth="1"/>
    <col min="2" max="2" width="43.421875" style="266" customWidth="1"/>
    <col min="3" max="3" width="10.8515625" style="261" customWidth="1"/>
    <col min="4" max="4" width="7.7109375" style="261" customWidth="1"/>
    <col min="5" max="5" width="10.8515625" style="261" customWidth="1"/>
    <col min="6" max="6" width="7.7109375" style="261" customWidth="1"/>
    <col min="7" max="7" width="8.7109375" style="261" customWidth="1"/>
    <col min="8" max="16384" width="11.00390625" style="261" customWidth="1"/>
  </cols>
  <sheetData>
    <row r="1" spans="1:5" s="255" customFormat="1" ht="12">
      <c r="A1" s="252" t="s">
        <v>77</v>
      </c>
      <c r="B1" s="253"/>
      <c r="C1" s="254"/>
      <c r="D1" s="254"/>
      <c r="E1" s="254"/>
    </row>
    <row r="2" spans="1:5" s="255" customFormat="1" ht="12">
      <c r="A2" s="252" t="s">
        <v>179</v>
      </c>
      <c r="B2" s="253"/>
      <c r="C2" s="254"/>
      <c r="D2" s="254"/>
      <c r="E2" s="254"/>
    </row>
    <row r="3" spans="1:7" s="255" customFormat="1" ht="12">
      <c r="A3" s="256" t="s">
        <v>180</v>
      </c>
      <c r="B3" s="257"/>
      <c r="C3" s="258"/>
      <c r="D3" s="258"/>
      <c r="E3" s="258"/>
      <c r="G3" s="259"/>
    </row>
    <row r="4" spans="1:2" s="255" customFormat="1" ht="12">
      <c r="A4" s="256" t="s">
        <v>181</v>
      </c>
      <c r="B4" s="257"/>
    </row>
    <row r="5" spans="1:2" s="255" customFormat="1" ht="12">
      <c r="A5" s="260"/>
      <c r="B5" s="260"/>
    </row>
    <row r="6" spans="1:5" s="255" customFormat="1" ht="12">
      <c r="A6" s="260" t="s">
        <v>178</v>
      </c>
      <c r="B6" s="260"/>
      <c r="C6" s="261"/>
      <c r="D6" s="261"/>
      <c r="E6" s="261"/>
    </row>
    <row r="7" spans="1:5" s="255" customFormat="1" ht="12">
      <c r="A7" s="260" t="s">
        <v>295</v>
      </c>
      <c r="B7" s="260"/>
      <c r="C7" s="261"/>
      <c r="D7" s="261"/>
      <c r="E7" s="261"/>
    </row>
    <row r="8" spans="1:2" s="255" customFormat="1" ht="12">
      <c r="A8" s="260"/>
      <c r="B8" s="260"/>
    </row>
    <row r="9" spans="1:2" s="255" customFormat="1" ht="12">
      <c r="A9" s="260"/>
      <c r="B9" s="260"/>
    </row>
    <row r="10" spans="1:8" s="263" customFormat="1" ht="11.25" customHeight="1">
      <c r="A10" s="513" t="s">
        <v>182</v>
      </c>
      <c r="B10" s="514"/>
      <c r="C10" s="511" t="s">
        <v>345</v>
      </c>
      <c r="D10" s="512"/>
      <c r="E10" s="511" t="s">
        <v>346</v>
      </c>
      <c r="F10" s="512"/>
      <c r="G10" s="509" t="s">
        <v>183</v>
      </c>
      <c r="H10" s="262"/>
    </row>
    <row r="11" spans="1:8" s="263" customFormat="1" ht="24">
      <c r="A11" s="515"/>
      <c r="B11" s="516"/>
      <c r="C11" s="325" t="s">
        <v>194</v>
      </c>
      <c r="D11" s="324" t="s">
        <v>184</v>
      </c>
      <c r="E11" s="325" t="s">
        <v>195</v>
      </c>
      <c r="F11" s="324" t="s">
        <v>184</v>
      </c>
      <c r="G11" s="510"/>
      <c r="H11" s="262"/>
    </row>
    <row r="12" spans="1:9" s="256" customFormat="1" ht="12">
      <c r="A12" s="326" t="s">
        <v>185</v>
      </c>
      <c r="B12" s="326"/>
      <c r="C12" s="327">
        <v>27251545</v>
      </c>
      <c r="D12" s="328">
        <f aca="true" t="shared" si="0" ref="D12:D35">C12/$C$35</f>
        <v>0.4030578271034085</v>
      </c>
      <c r="E12" s="327">
        <v>24885318</v>
      </c>
      <c r="F12" s="328">
        <f aca="true" t="shared" si="1" ref="F12:F35">E12/$E$35</f>
        <v>0.3604459165236754</v>
      </c>
      <c r="G12" s="328">
        <f aca="true" t="shared" si="2" ref="G12:G35">IF(E12&lt;&gt;0,(C12/E12-1),"-")</f>
        <v>0.09508526272398843</v>
      </c>
      <c r="H12" s="264"/>
      <c r="I12" s="264"/>
    </row>
    <row r="13" spans="1:9" s="256" customFormat="1" ht="12">
      <c r="A13" s="326" t="s">
        <v>215</v>
      </c>
      <c r="B13" s="326"/>
      <c r="C13" s="327">
        <v>11334842</v>
      </c>
      <c r="D13" s="328">
        <f t="shared" si="0"/>
        <v>0.16764542293218432</v>
      </c>
      <c r="E13" s="327">
        <v>11016083</v>
      </c>
      <c r="F13" s="328">
        <f t="shared" si="1"/>
        <v>0.1595600318804799</v>
      </c>
      <c r="G13" s="328">
        <f t="shared" si="2"/>
        <v>0.02893578416212006</v>
      </c>
      <c r="H13" s="262"/>
      <c r="I13" s="264"/>
    </row>
    <row r="14" spans="1:9" s="256" customFormat="1" ht="12">
      <c r="A14" s="326" t="s">
        <v>187</v>
      </c>
      <c r="B14" s="326"/>
      <c r="C14" s="327">
        <v>6544263</v>
      </c>
      <c r="D14" s="328">
        <f t="shared" si="0"/>
        <v>0.09679144521065625</v>
      </c>
      <c r="E14" s="327">
        <v>9107377</v>
      </c>
      <c r="F14" s="328">
        <f t="shared" si="1"/>
        <v>0.13191379952997354</v>
      </c>
      <c r="G14" s="328">
        <f t="shared" si="2"/>
        <v>-0.2814327330470672</v>
      </c>
      <c r="H14" s="262"/>
      <c r="I14" s="264"/>
    </row>
    <row r="15" spans="1:9" s="256" customFormat="1" ht="12">
      <c r="A15" s="326" t="s">
        <v>186</v>
      </c>
      <c r="B15" s="326"/>
      <c r="C15" s="327">
        <v>6541175</v>
      </c>
      <c r="D15" s="328">
        <f t="shared" si="0"/>
        <v>0.09674577284345302</v>
      </c>
      <c r="E15" s="327">
        <v>6355343</v>
      </c>
      <c r="F15" s="328">
        <f t="shared" si="1"/>
        <v>0.09205256820336091</v>
      </c>
      <c r="G15" s="328">
        <f t="shared" si="2"/>
        <v>0.02924027861281453</v>
      </c>
      <c r="H15" s="262"/>
      <c r="I15" s="264"/>
    </row>
    <row r="16" spans="1:10" s="256" customFormat="1" ht="12">
      <c r="A16" s="329" t="s">
        <v>157</v>
      </c>
      <c r="B16" s="329"/>
      <c r="C16" s="330">
        <f>SUM(C17:C21)</f>
        <v>4060942.823</v>
      </c>
      <c r="D16" s="331">
        <f t="shared" si="0"/>
        <v>0.06006245848554867</v>
      </c>
      <c r="E16" s="330">
        <f>SUM(E17:E21)</f>
        <v>3535936.667</v>
      </c>
      <c r="F16" s="331">
        <f t="shared" si="1"/>
        <v>0.05121549713395204</v>
      </c>
      <c r="G16" s="328">
        <f t="shared" si="2"/>
        <v>0.1484772509925727</v>
      </c>
      <c r="H16" s="264"/>
      <c r="I16" s="264"/>
      <c r="J16" s="366"/>
    </row>
    <row r="17" spans="1:9" s="256" customFormat="1" ht="12">
      <c r="A17" s="329"/>
      <c r="B17" s="329" t="s">
        <v>188</v>
      </c>
      <c r="C17" s="330">
        <f>'Total Exp.sacas'!B6</f>
        <v>3646195</v>
      </c>
      <c r="D17" s="331">
        <f t="shared" si="0"/>
        <v>0.05392822439591269</v>
      </c>
      <c r="E17" s="330">
        <f>'Total Exp.sacas'!E6</f>
        <v>3076674</v>
      </c>
      <c r="F17" s="331">
        <f t="shared" si="1"/>
        <v>0.044563408021330596</v>
      </c>
      <c r="G17" s="328">
        <f t="shared" si="2"/>
        <v>0.18510930959861205</v>
      </c>
      <c r="H17" s="264"/>
      <c r="I17" s="264"/>
    </row>
    <row r="18" spans="1:9" s="256" customFormat="1" ht="12">
      <c r="A18" s="329"/>
      <c r="B18" s="329" t="s">
        <v>189</v>
      </c>
      <c r="C18" s="330">
        <f>'Total Exp.sacas'!B7</f>
        <v>373408</v>
      </c>
      <c r="D18" s="331">
        <f t="shared" si="0"/>
        <v>0.005522806765745926</v>
      </c>
      <c r="E18" s="330">
        <f>'Total Exp.sacas'!E7</f>
        <v>429699</v>
      </c>
      <c r="F18" s="331">
        <f t="shared" si="1"/>
        <v>0.006223880678732207</v>
      </c>
      <c r="G18" s="328">
        <f t="shared" si="2"/>
        <v>-0.1310010030277008</v>
      </c>
      <c r="H18" s="264"/>
      <c r="I18" s="264"/>
    </row>
    <row r="19" spans="1:9" s="256" customFormat="1" ht="12">
      <c r="A19" s="329"/>
      <c r="B19" s="329" t="s">
        <v>244</v>
      </c>
      <c r="C19" s="330">
        <f>'Total Exp.sacas'!B8</f>
        <v>7631</v>
      </c>
      <c r="D19" s="331">
        <f t="shared" si="0"/>
        <v>0.00011286458359062248</v>
      </c>
      <c r="E19" s="330">
        <f>'Total Exp.sacas'!E8</f>
        <v>9528.142</v>
      </c>
      <c r="F19" s="331">
        <f t="shared" si="1"/>
        <v>0.00013800827765020828</v>
      </c>
      <c r="G19" s="328">
        <f t="shared" si="2"/>
        <v>-0.1991093331732462</v>
      </c>
      <c r="H19" s="262"/>
      <c r="I19" s="264"/>
    </row>
    <row r="20" spans="1:9" s="256" customFormat="1" ht="12">
      <c r="A20" s="329"/>
      <c r="B20" s="329" t="s">
        <v>211</v>
      </c>
      <c r="C20" s="330">
        <f>'Total Exp.sacas'!B9</f>
        <v>33708</v>
      </c>
      <c r="D20" s="331">
        <f t="shared" si="0"/>
        <v>0.0004985505679036433</v>
      </c>
      <c r="E20" s="330">
        <f>'Total Exp.sacas'!E9</f>
        <v>20035</v>
      </c>
      <c r="F20" s="331">
        <f t="shared" si="1"/>
        <v>0.00029019255199197523</v>
      </c>
      <c r="G20" s="328">
        <f t="shared" si="2"/>
        <v>0.6824557025205891</v>
      </c>
      <c r="H20" s="262"/>
      <c r="I20" s="264"/>
    </row>
    <row r="21" spans="1:9" s="256" customFormat="1" ht="12">
      <c r="A21" s="329"/>
      <c r="B21" s="329" t="s">
        <v>234</v>
      </c>
      <c r="C21" s="330">
        <f>'Total Exp.sacas'!B10</f>
        <v>0.8230000000000001</v>
      </c>
      <c r="D21" s="331">
        <f t="shared" si="0"/>
        <v>1.2172395792829552E-08</v>
      </c>
      <c r="E21" s="330">
        <f>'Total Exp.sacas'!E10</f>
        <v>0.525</v>
      </c>
      <c r="F21" s="331">
        <f t="shared" si="1"/>
        <v>7.604247057438832E-09</v>
      </c>
      <c r="G21" s="328">
        <f t="shared" si="2"/>
        <v>0.5676190476190477</v>
      </c>
      <c r="H21" s="262"/>
      <c r="I21" s="264"/>
    </row>
    <row r="22" spans="1:9" s="256" customFormat="1" ht="12">
      <c r="A22" s="326" t="s">
        <v>216</v>
      </c>
      <c r="B22" s="326"/>
      <c r="C22" s="327">
        <v>2310192</v>
      </c>
      <c r="D22" s="328">
        <f t="shared" si="0"/>
        <v>0.034168373488977506</v>
      </c>
      <c r="E22" s="327">
        <v>1935367</v>
      </c>
      <c r="F22" s="328">
        <f t="shared" si="1"/>
        <v>0.028032397742503278</v>
      </c>
      <c r="G22" s="328">
        <f t="shared" si="2"/>
        <v>0.19367127785066085</v>
      </c>
      <c r="H22" s="262"/>
      <c r="I22" s="264"/>
    </row>
    <row r="23" spans="1:9" s="256" customFormat="1" ht="12">
      <c r="A23" s="326" t="s">
        <v>217</v>
      </c>
      <c r="B23" s="326"/>
      <c r="C23" s="327">
        <v>2125857</v>
      </c>
      <c r="D23" s="328">
        <f t="shared" si="0"/>
        <v>0.03144200826604769</v>
      </c>
      <c r="E23" s="327">
        <v>4019647</v>
      </c>
      <c r="F23" s="328">
        <f t="shared" si="1"/>
        <v>0.05822169308893872</v>
      </c>
      <c r="G23" s="328">
        <f t="shared" si="2"/>
        <v>-0.47113341047111845</v>
      </c>
      <c r="H23" s="264"/>
      <c r="I23" s="264"/>
    </row>
    <row r="24" spans="1:9" s="256" customFormat="1" ht="12">
      <c r="A24" s="326" t="s">
        <v>190</v>
      </c>
      <c r="B24" s="326"/>
      <c r="C24" s="327">
        <v>1381065</v>
      </c>
      <c r="D24" s="328">
        <f t="shared" si="0"/>
        <v>0.020426330249847077</v>
      </c>
      <c r="E24" s="327">
        <v>2034040</v>
      </c>
      <c r="F24" s="328">
        <f t="shared" si="1"/>
        <v>0.029461605113738822</v>
      </c>
      <c r="G24" s="328">
        <f t="shared" si="2"/>
        <v>-0.32102367701716783</v>
      </c>
      <c r="H24" s="262"/>
      <c r="I24" s="264"/>
    </row>
    <row r="25" spans="1:9" s="256" customFormat="1" ht="12">
      <c r="A25" s="326" t="s">
        <v>339</v>
      </c>
      <c r="B25" s="326"/>
      <c r="C25" s="327">
        <v>1297966</v>
      </c>
      <c r="D25" s="328">
        <f t="shared" si="0"/>
        <v>0.019197273241355773</v>
      </c>
      <c r="E25" s="327">
        <v>1606890</v>
      </c>
      <c r="F25" s="328">
        <f t="shared" si="1"/>
        <v>0.023274644865005495</v>
      </c>
      <c r="G25" s="328">
        <f t="shared" si="2"/>
        <v>-0.1922496250521193</v>
      </c>
      <c r="H25" s="262"/>
      <c r="I25" s="264"/>
    </row>
    <row r="26" spans="1:9" s="256" customFormat="1" ht="12">
      <c r="A26" s="326" t="s">
        <v>191</v>
      </c>
      <c r="B26" s="326"/>
      <c r="C26" s="327">
        <v>769554</v>
      </c>
      <c r="D26" s="328">
        <f t="shared" si="0"/>
        <v>0.011381914789738946</v>
      </c>
      <c r="E26" s="327">
        <v>880994</v>
      </c>
      <c r="F26" s="328">
        <f t="shared" si="1"/>
        <v>0.012760563870707174</v>
      </c>
      <c r="G26" s="328">
        <f t="shared" si="2"/>
        <v>-0.12649348349704992</v>
      </c>
      <c r="H26" s="262"/>
      <c r="I26" s="264"/>
    </row>
    <row r="27" spans="1:9" s="256" customFormat="1" ht="12">
      <c r="A27" s="326" t="s">
        <v>284</v>
      </c>
      <c r="B27" s="326"/>
      <c r="C27" s="327">
        <v>552213</v>
      </c>
      <c r="D27" s="328">
        <f t="shared" si="0"/>
        <v>0.00816738177150156</v>
      </c>
      <c r="E27" s="327">
        <v>456181</v>
      </c>
      <c r="F27" s="328">
        <f t="shared" si="1"/>
        <v>0.006607453384589531</v>
      </c>
      <c r="G27" s="328">
        <f t="shared" si="2"/>
        <v>0.21051293236675783</v>
      </c>
      <c r="H27" s="262"/>
      <c r="I27" s="264"/>
    </row>
    <row r="28" spans="1:9" s="256" customFormat="1" ht="12">
      <c r="A28" s="326" t="s">
        <v>203</v>
      </c>
      <c r="B28" s="326"/>
      <c r="C28" s="327">
        <v>426285</v>
      </c>
      <c r="D28" s="328">
        <f t="shared" si="0"/>
        <v>0.006304872102729459</v>
      </c>
      <c r="E28" s="327">
        <v>439163</v>
      </c>
      <c r="F28" s="328">
        <f t="shared" si="1"/>
        <v>0.006360959905687638</v>
      </c>
      <c r="G28" s="328">
        <f t="shared" si="2"/>
        <v>-0.029323963995145363</v>
      </c>
      <c r="H28" s="262"/>
      <c r="I28" s="264"/>
    </row>
    <row r="29" spans="1:9" s="256" customFormat="1" ht="12">
      <c r="A29" s="326" t="s">
        <v>237</v>
      </c>
      <c r="B29" s="326"/>
      <c r="C29" s="327">
        <v>274933</v>
      </c>
      <c r="D29" s="328">
        <f t="shared" si="0"/>
        <v>0.004066334498797093</v>
      </c>
      <c r="E29" s="327">
        <v>277274</v>
      </c>
      <c r="F29" s="328">
        <f t="shared" si="1"/>
        <v>0.0040161142830558</v>
      </c>
      <c r="G29" s="328">
        <f t="shared" si="2"/>
        <v>-0.008442912065321662</v>
      </c>
      <c r="H29" s="262"/>
      <c r="I29" s="264"/>
    </row>
    <row r="30" spans="1:9" s="256" customFormat="1" ht="12">
      <c r="A30" s="326" t="s">
        <v>286</v>
      </c>
      <c r="B30" s="326"/>
      <c r="C30" s="327">
        <v>262769</v>
      </c>
      <c r="D30" s="328">
        <f t="shared" si="0"/>
        <v>0.0038864256015626103</v>
      </c>
      <c r="E30" s="327">
        <v>199576</v>
      </c>
      <c r="F30" s="328">
        <f t="shared" si="1"/>
        <v>0.0028907146871150714</v>
      </c>
      <c r="G30" s="328">
        <f t="shared" si="2"/>
        <v>0.3166362688900468</v>
      </c>
      <c r="H30" s="262"/>
      <c r="I30" s="264"/>
    </row>
    <row r="31" spans="1:9" s="256" customFormat="1" ht="12">
      <c r="A31" s="326" t="s">
        <v>315</v>
      </c>
      <c r="B31" s="326"/>
      <c r="C31" s="327">
        <v>229060</v>
      </c>
      <c r="D31" s="328">
        <f t="shared" si="0"/>
        <v>0.0033878602433846136</v>
      </c>
      <c r="E31" s="327">
        <v>77436</v>
      </c>
      <c r="F31" s="328">
        <f t="shared" si="1"/>
        <v>0.0011216047145520636</v>
      </c>
      <c r="G31" s="328">
        <f t="shared" si="2"/>
        <v>1.9580556846944575</v>
      </c>
      <c r="H31" s="262"/>
      <c r="I31" s="264"/>
    </row>
    <row r="32" spans="1:9" s="256" customFormat="1" ht="12">
      <c r="A32" s="326" t="s">
        <v>341</v>
      </c>
      <c r="B32" s="326"/>
      <c r="C32" s="327">
        <v>216050</v>
      </c>
      <c r="D32" s="328">
        <f t="shared" si="0"/>
        <v>0.003195438774047174</v>
      </c>
      <c r="E32" s="327">
        <v>210055</v>
      </c>
      <c r="F32" s="328">
        <f t="shared" si="1"/>
        <v>0.0030424954583815503</v>
      </c>
      <c r="G32" s="328">
        <f t="shared" si="2"/>
        <v>0.028540144247935162</v>
      </c>
      <c r="H32" s="262"/>
      <c r="I32" s="264"/>
    </row>
    <row r="33" spans="1:9" s="256" customFormat="1" ht="12">
      <c r="A33" s="326" t="s">
        <v>283</v>
      </c>
      <c r="B33" s="326"/>
      <c r="C33" s="327">
        <v>120692</v>
      </c>
      <c r="D33" s="328">
        <f t="shared" si="0"/>
        <v>0.001785067792257818</v>
      </c>
      <c r="E33" s="327">
        <v>133032</v>
      </c>
      <c r="F33" s="328">
        <f t="shared" si="1"/>
        <v>0.001926872751514672</v>
      </c>
      <c r="G33" s="328">
        <f t="shared" si="2"/>
        <v>-0.0927596367791208</v>
      </c>
      <c r="H33" s="262"/>
      <c r="I33" s="264"/>
    </row>
    <row r="34" spans="1:9" s="256" customFormat="1" ht="12">
      <c r="A34" s="326" t="s">
        <v>192</v>
      </c>
      <c r="B34" s="326"/>
      <c r="C34" s="269">
        <f>C35-SUM(C12:C16,C22:C33)</f>
        <v>1912594.177000001</v>
      </c>
      <c r="D34" s="328">
        <f t="shared" si="0"/>
        <v>0.028287792604501958</v>
      </c>
      <c r="E34" s="269">
        <f>E35-SUM(E12:E16,E22:E33)</f>
        <v>1870653.3330000043</v>
      </c>
      <c r="F34" s="328">
        <f t="shared" si="1"/>
        <v>0.02709506686276843</v>
      </c>
      <c r="G34" s="328">
        <f t="shared" si="2"/>
        <v>0.022420425666328736</v>
      </c>
      <c r="H34" s="264"/>
      <c r="I34" s="264"/>
    </row>
    <row r="35" spans="1:8" ht="12">
      <c r="A35" s="332" t="s">
        <v>193</v>
      </c>
      <c r="B35" s="332"/>
      <c r="C35" s="333">
        <v>67611998</v>
      </c>
      <c r="D35" s="334">
        <f t="shared" si="0"/>
        <v>1</v>
      </c>
      <c r="E35" s="333">
        <v>69040366</v>
      </c>
      <c r="F35" s="334">
        <f t="shared" si="1"/>
        <v>1</v>
      </c>
      <c r="G35" s="334">
        <f t="shared" si="2"/>
        <v>-0.02068888221131393</v>
      </c>
      <c r="H35" s="262"/>
    </row>
    <row r="36" spans="1:8" ht="12">
      <c r="A36" s="508" t="s">
        <v>224</v>
      </c>
      <c r="B36" s="508"/>
      <c r="C36" s="508"/>
      <c r="D36" s="508"/>
      <c r="E36" s="335"/>
      <c r="F36" s="335"/>
      <c r="G36" s="335"/>
      <c r="H36" s="262"/>
    </row>
    <row r="37" spans="1:8" ht="12">
      <c r="A37" s="250"/>
      <c r="B37" s="249"/>
      <c r="C37" s="251"/>
      <c r="D37" s="270"/>
      <c r="E37" s="270"/>
      <c r="F37" s="270"/>
      <c r="G37" s="270"/>
      <c r="H37" s="262"/>
    </row>
    <row r="38" spans="1:8" ht="12">
      <c r="A38" s="262"/>
      <c r="B38" s="262"/>
      <c r="C38" s="265"/>
      <c r="D38" s="265"/>
      <c r="E38" s="265"/>
      <c r="F38" s="265"/>
      <c r="G38" s="265"/>
      <c r="H38" s="262"/>
    </row>
    <row r="39" spans="1:8" ht="12">
      <c r="A39" s="262"/>
      <c r="B39" s="262"/>
      <c r="C39" s="265"/>
      <c r="D39" s="284"/>
      <c r="E39" s="265"/>
      <c r="F39" s="265"/>
      <c r="G39" s="265"/>
      <c r="H39" s="262"/>
    </row>
    <row r="40" spans="1:8" ht="12">
      <c r="A40" s="262"/>
      <c r="B40" s="262"/>
      <c r="C40" s="283"/>
      <c r="D40" s="283"/>
      <c r="E40" s="283"/>
      <c r="F40" s="283"/>
      <c r="G40" s="283"/>
      <c r="H40" s="262"/>
    </row>
    <row r="41" spans="1:8" ht="12">
      <c r="A41" s="262"/>
      <c r="B41" s="262"/>
      <c r="C41" s="265"/>
      <c r="D41" s="262"/>
      <c r="E41" s="262"/>
      <c r="F41" s="262"/>
      <c r="G41" s="262"/>
      <c r="H41" s="262"/>
    </row>
    <row r="42" spans="1:8" ht="12">
      <c r="A42" s="262"/>
      <c r="B42" s="262"/>
      <c r="C42" s="262"/>
      <c r="D42" s="262"/>
      <c r="E42" s="262"/>
      <c r="F42" s="262"/>
      <c r="G42" s="262"/>
      <c r="H42" s="262"/>
    </row>
    <row r="43" spans="1:8" ht="12">
      <c r="A43" s="262"/>
      <c r="B43" s="262"/>
      <c r="C43" s="262"/>
      <c r="D43" s="262"/>
      <c r="E43" s="262"/>
      <c r="F43" s="262"/>
      <c r="G43" s="262"/>
      <c r="H43" s="262"/>
    </row>
    <row r="44" spans="1:8" ht="12">
      <c r="A44" s="262"/>
      <c r="B44" s="262"/>
      <c r="C44" s="262"/>
      <c r="D44" s="262"/>
      <c r="E44" s="262"/>
      <c r="F44" s="262"/>
      <c r="G44" s="262"/>
      <c r="H44" s="262"/>
    </row>
    <row r="45" spans="1:8" ht="12">
      <c r="A45" s="262"/>
      <c r="B45" s="262"/>
      <c r="C45" s="262"/>
      <c r="D45" s="262"/>
      <c r="E45" s="262"/>
      <c r="F45" s="262"/>
      <c r="G45" s="262"/>
      <c r="H45" s="262"/>
    </row>
    <row r="46" spans="1:8" ht="12">
      <c r="A46" s="262"/>
      <c r="B46" s="262"/>
      <c r="C46" s="262"/>
      <c r="D46" s="262"/>
      <c r="E46" s="262"/>
      <c r="F46" s="262"/>
      <c r="G46" s="262"/>
      <c r="H46" s="262"/>
    </row>
    <row r="47" spans="1:8" ht="12">
      <c r="A47" s="262"/>
      <c r="B47" s="262"/>
      <c r="C47" s="262"/>
      <c r="D47" s="262"/>
      <c r="E47" s="262"/>
      <c r="F47" s="262"/>
      <c r="G47" s="262"/>
      <c r="H47" s="262"/>
    </row>
    <row r="48" spans="1:8" ht="12">
      <c r="A48" s="262"/>
      <c r="B48" s="262"/>
      <c r="C48" s="262"/>
      <c r="D48" s="262"/>
      <c r="E48" s="262"/>
      <c r="F48" s="262"/>
      <c r="G48" s="262"/>
      <c r="H48" s="262"/>
    </row>
    <row r="49" spans="1:8" ht="12">
      <c r="A49" s="262"/>
      <c r="B49" s="262"/>
      <c r="C49" s="262"/>
      <c r="D49" s="262"/>
      <c r="E49" s="262"/>
      <c r="F49" s="262"/>
      <c r="G49" s="262"/>
      <c r="H49" s="262"/>
    </row>
    <row r="50" spans="1:8" ht="12">
      <c r="A50" s="262"/>
      <c r="B50" s="262"/>
      <c r="C50" s="262"/>
      <c r="D50" s="262"/>
      <c r="E50" s="262"/>
      <c r="F50" s="262"/>
      <c r="G50" s="262"/>
      <c r="H50" s="262"/>
    </row>
    <row r="51" spans="1:8" ht="12">
      <c r="A51" s="262"/>
      <c r="B51" s="262"/>
      <c r="C51" s="262"/>
      <c r="D51" s="262"/>
      <c r="E51" s="262"/>
      <c r="F51" s="262"/>
      <c r="G51" s="262"/>
      <c r="H51" s="262"/>
    </row>
    <row r="52" spans="1:8" ht="12">
      <c r="A52" s="262"/>
      <c r="B52" s="262"/>
      <c r="C52" s="262"/>
      <c r="D52" s="262"/>
      <c r="E52" s="262"/>
      <c r="F52" s="262"/>
      <c r="G52" s="262"/>
      <c r="H52" s="262"/>
    </row>
    <row r="53" spans="1:8" ht="12">
      <c r="A53" s="262"/>
      <c r="B53" s="262"/>
      <c r="C53" s="262"/>
      <c r="D53" s="262"/>
      <c r="E53" s="262"/>
      <c r="F53" s="262"/>
      <c r="G53" s="262"/>
      <c r="H53" s="262"/>
    </row>
    <row r="54" spans="1:8" ht="12">
      <c r="A54" s="262"/>
      <c r="B54" s="262"/>
      <c r="C54" s="262"/>
      <c r="D54" s="262"/>
      <c r="E54" s="262"/>
      <c r="F54" s="262"/>
      <c r="G54" s="262"/>
      <c r="H54" s="262"/>
    </row>
    <row r="55" spans="1:8" ht="12">
      <c r="A55" s="262"/>
      <c r="B55" s="262"/>
      <c r="C55" s="262"/>
      <c r="D55" s="262"/>
      <c r="E55" s="262"/>
      <c r="F55" s="262"/>
      <c r="G55" s="262"/>
      <c r="H55" s="262"/>
    </row>
    <row r="56" spans="1:8" ht="12">
      <c r="A56" s="262"/>
      <c r="B56" s="262"/>
      <c r="C56" s="262"/>
      <c r="D56" s="262"/>
      <c r="E56" s="262"/>
      <c r="F56" s="262"/>
      <c r="G56" s="262"/>
      <c r="H56" s="262"/>
    </row>
    <row r="57" spans="1:8" ht="12">
      <c r="A57" s="262"/>
      <c r="B57" s="262"/>
      <c r="C57" s="262"/>
      <c r="D57" s="262"/>
      <c r="E57" s="262"/>
      <c r="F57" s="262"/>
      <c r="G57" s="262"/>
      <c r="H57" s="262"/>
    </row>
    <row r="58" spans="1:8" ht="12">
      <c r="A58" s="262"/>
      <c r="B58" s="262"/>
      <c r="C58" s="262"/>
      <c r="D58" s="262"/>
      <c r="E58" s="262"/>
      <c r="F58" s="262"/>
      <c r="G58" s="262"/>
      <c r="H58" s="262"/>
    </row>
    <row r="59" spans="1:8" ht="12">
      <c r="A59" s="262"/>
      <c r="B59" s="262"/>
      <c r="C59" s="262"/>
      <c r="D59" s="262"/>
      <c r="E59" s="262"/>
      <c r="F59" s="262"/>
      <c r="G59" s="262"/>
      <c r="H59" s="262"/>
    </row>
    <row r="60" spans="1:8" ht="12">
      <c r="A60" s="262"/>
      <c r="B60" s="262"/>
      <c r="C60" s="262"/>
      <c r="D60" s="262"/>
      <c r="E60" s="262"/>
      <c r="F60" s="262"/>
      <c r="G60" s="262"/>
      <c r="H60" s="262"/>
    </row>
    <row r="61" spans="1:8" ht="12">
      <c r="A61" s="262"/>
      <c r="B61" s="262"/>
      <c r="C61" s="262"/>
      <c r="D61" s="262"/>
      <c r="E61" s="262"/>
      <c r="F61" s="262"/>
      <c r="G61" s="262"/>
      <c r="H61" s="262"/>
    </row>
    <row r="62" spans="1:8" ht="12">
      <c r="A62" s="262"/>
      <c r="B62" s="262"/>
      <c r="C62" s="262"/>
      <c r="D62" s="262"/>
      <c r="E62" s="262"/>
      <c r="F62" s="262"/>
      <c r="G62" s="262"/>
      <c r="H62" s="262"/>
    </row>
    <row r="63" spans="1:8" ht="12">
      <c r="A63" s="262"/>
      <c r="B63" s="262"/>
      <c r="C63" s="262"/>
      <c r="D63" s="262"/>
      <c r="E63" s="262"/>
      <c r="F63" s="262"/>
      <c r="G63" s="262"/>
      <c r="H63" s="262"/>
    </row>
    <row r="64" spans="1:8" ht="12">
      <c r="A64" s="262"/>
      <c r="B64" s="262"/>
      <c r="C64" s="262"/>
      <c r="D64" s="262"/>
      <c r="E64" s="262"/>
      <c r="F64" s="262"/>
      <c r="G64" s="262"/>
      <c r="H64" s="262"/>
    </row>
    <row r="65" spans="1:8" ht="12">
      <c r="A65" s="262"/>
      <c r="B65" s="262"/>
      <c r="C65" s="262"/>
      <c r="D65" s="262"/>
      <c r="E65" s="262"/>
      <c r="F65" s="262"/>
      <c r="G65" s="262"/>
      <c r="H65" s="262"/>
    </row>
    <row r="66" spans="1:8" ht="12">
      <c r="A66" s="262"/>
      <c r="B66" s="262"/>
      <c r="C66" s="262"/>
      <c r="D66" s="262"/>
      <c r="E66" s="262"/>
      <c r="F66" s="262"/>
      <c r="G66" s="262"/>
      <c r="H66" s="262"/>
    </row>
    <row r="67" spans="1:8" ht="12">
      <c r="A67" s="262"/>
      <c r="B67" s="262"/>
      <c r="C67" s="262"/>
      <c r="D67" s="262"/>
      <c r="E67" s="262"/>
      <c r="F67" s="262"/>
      <c r="G67" s="262"/>
      <c r="H67" s="262"/>
    </row>
    <row r="68" spans="1:8" ht="12">
      <c r="A68" s="262"/>
      <c r="B68" s="262"/>
      <c r="C68" s="262"/>
      <c r="D68" s="262"/>
      <c r="E68" s="262"/>
      <c r="F68" s="262"/>
      <c r="G68" s="262"/>
      <c r="H68" s="262"/>
    </row>
    <row r="69" spans="1:8" ht="12">
      <c r="A69" s="262"/>
      <c r="B69" s="262"/>
      <c r="C69" s="262"/>
      <c r="D69" s="262"/>
      <c r="E69" s="262"/>
      <c r="F69" s="262"/>
      <c r="G69" s="262"/>
      <c r="H69" s="262"/>
    </row>
    <row r="70" spans="1:8" ht="12">
      <c r="A70" s="262"/>
      <c r="B70" s="262"/>
      <c r="C70" s="262"/>
      <c r="D70" s="262"/>
      <c r="E70" s="262"/>
      <c r="F70" s="262"/>
      <c r="G70" s="262"/>
      <c r="H70" s="262"/>
    </row>
    <row r="71" spans="1:8" ht="12">
      <c r="A71" s="262"/>
      <c r="B71" s="262"/>
      <c r="C71" s="262"/>
      <c r="D71" s="262"/>
      <c r="E71" s="262"/>
      <c r="F71" s="262"/>
      <c r="G71" s="262"/>
      <c r="H71" s="262"/>
    </row>
    <row r="72" spans="1:8" ht="12">
      <c r="A72" s="262"/>
      <c r="B72" s="262"/>
      <c r="C72" s="262"/>
      <c r="D72" s="262"/>
      <c r="E72" s="262"/>
      <c r="F72" s="262"/>
      <c r="G72" s="262"/>
      <c r="H72" s="262"/>
    </row>
    <row r="73" spans="1:8" ht="12">
      <c r="A73" s="262"/>
      <c r="B73" s="262"/>
      <c r="C73" s="262"/>
      <c r="D73" s="262"/>
      <c r="E73" s="262"/>
      <c r="F73" s="262"/>
      <c r="G73" s="262"/>
      <c r="H73" s="262"/>
    </row>
    <row r="74" spans="1:8" ht="12">
      <c r="A74" s="262"/>
      <c r="B74" s="262"/>
      <c r="C74" s="262"/>
      <c r="D74" s="262"/>
      <c r="E74" s="262"/>
      <c r="F74" s="262"/>
      <c r="G74" s="262"/>
      <c r="H74" s="262"/>
    </row>
    <row r="75" spans="1:8" ht="12">
      <c r="A75" s="262"/>
      <c r="B75" s="262"/>
      <c r="C75" s="262"/>
      <c r="D75" s="262"/>
      <c r="E75" s="262"/>
      <c r="F75" s="262"/>
      <c r="G75" s="262"/>
      <c r="H75" s="262"/>
    </row>
    <row r="76" spans="1:8" ht="12">
      <c r="A76" s="262"/>
      <c r="B76" s="262"/>
      <c r="C76" s="262"/>
      <c r="D76" s="262"/>
      <c r="E76" s="262"/>
      <c r="F76" s="262"/>
      <c r="G76" s="262"/>
      <c r="H76" s="262"/>
    </row>
    <row r="77" spans="1:8" ht="12">
      <c r="A77" s="262"/>
      <c r="B77" s="262"/>
      <c r="C77" s="262"/>
      <c r="D77" s="262"/>
      <c r="E77" s="262"/>
      <c r="F77" s="262"/>
      <c r="G77" s="262"/>
      <c r="H77" s="262"/>
    </row>
    <row r="78" spans="1:8" ht="12">
      <c r="A78" s="262"/>
      <c r="B78" s="262"/>
      <c r="C78" s="262"/>
      <c r="D78" s="262"/>
      <c r="E78" s="262"/>
      <c r="F78" s="262"/>
      <c r="G78" s="262"/>
      <c r="H78" s="262"/>
    </row>
    <row r="79" spans="1:8" ht="12">
      <c r="A79" s="262"/>
      <c r="B79" s="262"/>
      <c r="C79" s="262"/>
      <c r="D79" s="262"/>
      <c r="E79" s="262"/>
      <c r="F79" s="262"/>
      <c r="G79" s="262"/>
      <c r="H79" s="262"/>
    </row>
    <row r="80" spans="1:8" ht="12">
      <c r="A80" s="262"/>
      <c r="B80" s="262"/>
      <c r="C80" s="262"/>
      <c r="D80" s="262"/>
      <c r="E80" s="262"/>
      <c r="F80" s="262"/>
      <c r="G80" s="262"/>
      <c r="H80" s="262"/>
    </row>
    <row r="81" spans="1:8" ht="12">
      <c r="A81" s="262"/>
      <c r="B81" s="262"/>
      <c r="C81" s="262"/>
      <c r="D81" s="262"/>
      <c r="E81" s="262"/>
      <c r="F81" s="262"/>
      <c r="G81" s="262"/>
      <c r="H81" s="262"/>
    </row>
    <row r="82" spans="1:8" ht="12">
      <c r="A82" s="262"/>
      <c r="B82" s="262"/>
      <c r="C82" s="262"/>
      <c r="D82" s="262"/>
      <c r="E82" s="262"/>
      <c r="F82" s="262"/>
      <c r="G82" s="262"/>
      <c r="H82" s="262"/>
    </row>
    <row r="83" spans="1:8" ht="12">
      <c r="A83" s="262"/>
      <c r="B83" s="262"/>
      <c r="C83" s="262"/>
      <c r="D83" s="262"/>
      <c r="E83" s="262"/>
      <c r="F83" s="262"/>
      <c r="G83" s="262"/>
      <c r="H83" s="262"/>
    </row>
    <row r="84" spans="1:8" ht="12">
      <c r="A84" s="262"/>
      <c r="B84" s="262"/>
      <c r="C84" s="262"/>
      <c r="D84" s="262"/>
      <c r="E84" s="262"/>
      <c r="F84" s="262"/>
      <c r="G84" s="262"/>
      <c r="H84" s="262"/>
    </row>
    <row r="85" spans="1:8" ht="12">
      <c r="A85" s="262"/>
      <c r="B85" s="262"/>
      <c r="C85" s="262"/>
      <c r="D85" s="262"/>
      <c r="E85" s="262"/>
      <c r="F85" s="262"/>
      <c r="G85" s="262"/>
      <c r="H85" s="262"/>
    </row>
    <row r="86" spans="1:8" ht="12">
      <c r="A86" s="262"/>
      <c r="B86" s="262"/>
      <c r="C86" s="262"/>
      <c r="D86" s="262"/>
      <c r="E86" s="262"/>
      <c r="F86" s="262"/>
      <c r="G86" s="262"/>
      <c r="H86" s="262"/>
    </row>
  </sheetData>
  <mergeCells count="5">
    <mergeCell ref="A36:D36"/>
    <mergeCell ref="G10:G11"/>
    <mergeCell ref="C10:D10"/>
    <mergeCell ref="E10:F10"/>
    <mergeCell ref="A10:B11"/>
  </mergeCells>
  <conditionalFormatting sqref="G12:G35">
    <cfRule type="cellIs" priority="1" dxfId="0" operator="lessThan" stopIfTrue="1">
      <formula>0</formula>
    </cfRule>
  </conditionalFormatting>
  <hyperlinks>
    <hyperlink ref="B36:D36" r:id="rId1" display="Fonte: AgroStat Brasil a partir de dados da SECEX/MDIC"/>
  </hyperlinks>
  <printOptions horizontalCentered="1"/>
  <pageMargins left="0.15748031496062992" right="0.15748031496062992" top="0.5905511811023623" bottom="0.5905511811023623" header="0.35433070866141736" footer="0.2362204724409449"/>
  <pageSetup horizontalDpi="300" verticalDpi="300" orientation="portrait" paperSize="9" scale="95" r:id="rId2"/>
  <ignoredErrors>
    <ignoredError sqref="E16 C16 C34 E34:F34" formulaRange="1"/>
    <ignoredError sqref="D16" formula="1"/>
    <ignoredError sqref="D34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:J1"/>
    </sheetView>
  </sheetViews>
  <sheetFormatPr defaultColWidth="9.140625" defaultRowHeight="12.75"/>
  <cols>
    <col min="1" max="1" width="29.8515625" style="349" customWidth="1"/>
    <col min="2" max="6" width="12.00390625" style="349" customWidth="1"/>
    <col min="7" max="7" width="12.00390625" style="387" customWidth="1"/>
    <col min="8" max="10" width="12.00390625" style="349" customWidth="1"/>
    <col min="11" max="16384" width="9.140625" style="349" customWidth="1"/>
  </cols>
  <sheetData>
    <row r="1" spans="1:10" ht="18.75" customHeight="1">
      <c r="A1" s="517" t="s">
        <v>323</v>
      </c>
      <c r="B1" s="517"/>
      <c r="C1" s="517"/>
      <c r="D1" s="517"/>
      <c r="E1" s="517"/>
      <c r="F1" s="517"/>
      <c r="G1" s="517"/>
      <c r="H1" s="517"/>
      <c r="I1" s="517"/>
      <c r="J1" s="517"/>
    </row>
    <row r="2" ht="18.75" customHeight="1"/>
    <row r="3" spans="1:11" ht="18.75" customHeight="1">
      <c r="A3" s="518" t="s">
        <v>157</v>
      </c>
      <c r="B3" s="520" t="s">
        <v>347</v>
      </c>
      <c r="C3" s="521"/>
      <c r="D3" s="521"/>
      <c r="E3" s="520" t="s">
        <v>348</v>
      </c>
      <c r="F3" s="521"/>
      <c r="G3" s="521"/>
      <c r="H3" s="522" t="s">
        <v>58</v>
      </c>
      <c r="I3" s="522"/>
      <c r="J3" s="522"/>
      <c r="K3" s="3"/>
    </row>
    <row r="4" spans="1:11" ht="18.75" customHeight="1">
      <c r="A4" s="519"/>
      <c r="B4" s="393" t="s">
        <v>1</v>
      </c>
      <c r="C4" s="393" t="s">
        <v>59</v>
      </c>
      <c r="D4" s="393" t="s">
        <v>60</v>
      </c>
      <c r="E4" s="393" t="s">
        <v>1</v>
      </c>
      <c r="F4" s="393" t="s">
        <v>59</v>
      </c>
      <c r="G4" s="393" t="s">
        <v>60</v>
      </c>
      <c r="H4" s="521" t="s">
        <v>296</v>
      </c>
      <c r="I4" s="521"/>
      <c r="J4" s="521"/>
      <c r="K4" s="3"/>
    </row>
    <row r="5" spans="1:11" ht="18.75" customHeight="1">
      <c r="A5" s="121"/>
      <c r="B5" s="394" t="s">
        <v>61</v>
      </c>
      <c r="C5" s="394" t="s">
        <v>233</v>
      </c>
      <c r="D5" s="395" t="s">
        <v>232</v>
      </c>
      <c r="E5" s="394" t="s">
        <v>61</v>
      </c>
      <c r="F5" s="394" t="s">
        <v>233</v>
      </c>
      <c r="G5" s="395" t="s">
        <v>232</v>
      </c>
      <c r="H5" s="394" t="s">
        <v>1</v>
      </c>
      <c r="I5" s="394" t="s">
        <v>59</v>
      </c>
      <c r="J5" s="396" t="s">
        <v>60</v>
      </c>
      <c r="K5" s="3"/>
    </row>
    <row r="6" spans="1:11" ht="18.75" customHeight="1">
      <c r="A6" s="350" t="s">
        <v>147</v>
      </c>
      <c r="B6" s="351">
        <f>'Exp.Verde'!B20</f>
        <v>3646195</v>
      </c>
      <c r="C6" s="351">
        <f>'Exp.Verde'!C20</f>
        <v>21342200</v>
      </c>
      <c r="D6" s="388">
        <f>(B6*1000)/C6</f>
        <v>170.8443834281377</v>
      </c>
      <c r="E6" s="351">
        <f>+'Exp.Verde'!E6+'Exp.Verde'!E7+'Exp.Verde'!E8+'Exp.Verde'!E9+'Exp.Verde'!E10+'Exp.Verde'!E11+'Exp.Verde'!E13+'Exp.Verde'!E14</f>
        <v>3076674</v>
      </c>
      <c r="F6" s="351">
        <f>+'Exp.Verde'!F6+'Exp.Verde'!F7+'Exp.Verde'!F8+'Exp.Verde'!F9+'Exp.Verde'!F10+'Exp.Verde'!F11+'Exp.Verde'!F13+'Exp.Verde'!F14</f>
        <v>17706566.666666668</v>
      </c>
      <c r="G6" s="388">
        <f>(E6*1000)/F6</f>
        <v>173.75892559634184</v>
      </c>
      <c r="H6" s="389">
        <f aca="true" t="shared" si="0" ref="H6:J9">SUM(B6-E6)*100/E6</f>
        <v>18.510930959861202</v>
      </c>
      <c r="I6" s="389">
        <f t="shared" si="0"/>
        <v>20.532683731271064</v>
      </c>
      <c r="J6" s="389">
        <f t="shared" si="0"/>
        <v>-1.6773481754686392</v>
      </c>
      <c r="K6" s="3"/>
    </row>
    <row r="7" spans="1:11" ht="18.75" customHeight="1">
      <c r="A7" s="350" t="s">
        <v>64</v>
      </c>
      <c r="B7" s="351">
        <f>'Exp.Solúvel'!B20</f>
        <v>373408</v>
      </c>
      <c r="C7" s="351">
        <f>'Exp.Solúvel'!C20</f>
        <v>2193230</v>
      </c>
      <c r="D7" s="388">
        <f>(B7*1000)/C7</f>
        <v>170.25482963483083</v>
      </c>
      <c r="E7" s="351">
        <f>'Exp.Solúvel'!E6+'Exp.Solúvel'!E7+'Exp.Solúvel'!E8+'Exp.Solúvel'!E9+'Exp.Solúvel'!E10+'Exp.Solúvel'!E11+'Exp.Solúvel'!E13+'Exp.Solúvel'!E14</f>
        <v>429699</v>
      </c>
      <c r="F7" s="351">
        <f>'Exp.Solúvel'!F6+'Exp.Solúvel'!F7+'Exp.Solúvel'!F8+'Exp.Solúvel'!F9+'Exp.Solúvel'!F10+'Exp.Solúvel'!F11+'Exp.Solúvel'!F13+'Exp.Solúvel'!F14</f>
        <v>2251600</v>
      </c>
      <c r="G7" s="388">
        <f>(E7*1000)/F7</f>
        <v>190.84162373423342</v>
      </c>
      <c r="H7" s="389">
        <f t="shared" si="0"/>
        <v>-13.100100302770079</v>
      </c>
      <c r="I7" s="389">
        <f t="shared" si="0"/>
        <v>-2.592378752886836</v>
      </c>
      <c r="J7" s="389">
        <f t="shared" si="0"/>
        <v>-10.787371065377133</v>
      </c>
      <c r="K7" s="3"/>
    </row>
    <row r="8" spans="1:11" ht="18.75" customHeight="1">
      <c r="A8" s="350" t="s">
        <v>242</v>
      </c>
      <c r="B8" s="351">
        <f>'Exp.Torrado'!B20</f>
        <v>7631</v>
      </c>
      <c r="C8" s="351">
        <f>'Exp.Torrado'!C20</f>
        <v>19932.5</v>
      </c>
      <c r="D8" s="388">
        <f>(B8*1000)/C8</f>
        <v>382.8420920607049</v>
      </c>
      <c r="E8" s="351">
        <f>'Exp.Torrado'!E6+'Exp.Torrado'!E7+'Exp.Torrado'!E8+'Exp.Torrado'!E9+'Exp.Torrado'!E10+'Exp.Torrado'!E11+'Exp.Torrado'!E13+'Exp.Torrado'!E14</f>
        <v>9528.142</v>
      </c>
      <c r="F8" s="351">
        <f>'Exp.Torrado'!F6+'Exp.Torrado'!F7+'Exp.Torrado'!F8+'Exp.Torrado'!F9+'Exp.Torrado'!F10+'Exp.Torrado'!F11+'Exp.Torrado'!F13+'Exp.Torrado'!F14</f>
        <v>24057.833333333336</v>
      </c>
      <c r="G8" s="388">
        <f>(E8*1000)/F8</f>
        <v>396.05154246364657</v>
      </c>
      <c r="H8" s="389">
        <f t="shared" si="0"/>
        <v>-19.910933317324613</v>
      </c>
      <c r="I8" s="389">
        <f t="shared" si="0"/>
        <v>-17.147568013190448</v>
      </c>
      <c r="J8" s="389">
        <f t="shared" si="0"/>
        <v>-3.3352856854873063</v>
      </c>
      <c r="K8" s="3"/>
    </row>
    <row r="9" spans="1:11" ht="18.75" customHeight="1">
      <c r="A9" s="350" t="s">
        <v>213</v>
      </c>
      <c r="B9" s="351">
        <f>'Exp.Outs Ext.'!B20</f>
        <v>33708</v>
      </c>
      <c r="C9" s="351">
        <f>'Exp.Outs Ext.'!C20</f>
        <v>259133.3333333333</v>
      </c>
      <c r="D9" s="388">
        <f>(B9*1000)/C9</f>
        <v>130.07975302289685</v>
      </c>
      <c r="E9" s="351">
        <f>'Exp.Outs Ext.'!E6+'Exp.Outs Ext.'!E7+'Exp.Outs Ext.'!E8+'Exp.Outs Ext.'!E9+'Exp.Outs Ext.'!E10+'Exp.Outs Ext.'!E11+'Exp.Outs Ext.'!E13+'Exp.Outs Ext.'!E14</f>
        <v>20035</v>
      </c>
      <c r="F9" s="351">
        <f>'Exp.Outs Ext.'!F6+'Exp.Outs Ext.'!F7+'Exp.Outs Ext.'!F8+'Exp.Outs Ext.'!F9+'Exp.Outs Ext.'!F10+'Exp.Outs Ext.'!F11+'Exp.Outs Ext.'!F13+'Exp.Outs Ext.'!F14</f>
        <v>129956.66666666667</v>
      </c>
      <c r="G9" s="388">
        <f>(E9*1000)/F9</f>
        <v>154.16677353989792</v>
      </c>
      <c r="H9" s="389">
        <f t="shared" si="0"/>
        <v>68.2455702520589</v>
      </c>
      <c r="I9" s="389">
        <f t="shared" si="0"/>
        <v>99.39979993331109</v>
      </c>
      <c r="J9" s="389">
        <f t="shared" si="0"/>
        <v>-15.62400247727012</v>
      </c>
      <c r="K9" s="3"/>
    </row>
    <row r="10" spans="1:11" ht="18.75" customHeight="1">
      <c r="A10" s="350" t="s">
        <v>236</v>
      </c>
      <c r="B10" s="351">
        <v>0.8230000000000001</v>
      </c>
      <c r="C10" s="351">
        <v>4.1</v>
      </c>
      <c r="D10" s="388">
        <f>(B10*1000)/C10</f>
        <v>200.73170731707322</v>
      </c>
      <c r="E10" s="351">
        <v>0.525</v>
      </c>
      <c r="F10" s="351">
        <v>2.5</v>
      </c>
      <c r="G10" s="388">
        <f>(E10*1000)/F10</f>
        <v>210</v>
      </c>
      <c r="H10" s="389">
        <v>2.5</v>
      </c>
      <c r="I10" s="389">
        <f>SUM(C10-F10)*100/F10</f>
        <v>63.999999999999986</v>
      </c>
      <c r="J10" s="389">
        <f>SUM(D10-G10)*100/G10</f>
        <v>-4.413472706155612</v>
      </c>
      <c r="K10" s="3"/>
    </row>
    <row r="11" spans="1:11" ht="18.75" customHeight="1">
      <c r="A11" s="353" t="s">
        <v>2</v>
      </c>
      <c r="B11" s="390">
        <f>SUM(B6:B10)</f>
        <v>4060942.823</v>
      </c>
      <c r="C11" s="390">
        <f>SUM(C6:C10)</f>
        <v>23814499.933333334</v>
      </c>
      <c r="D11" s="391">
        <v>0</v>
      </c>
      <c r="E11" s="390">
        <f>SUM(E6:E10)</f>
        <v>3535936.667</v>
      </c>
      <c r="F11" s="390">
        <f>SUM(F6:F10)</f>
        <v>20112183.666666668</v>
      </c>
      <c r="G11" s="391">
        <v>0</v>
      </c>
      <c r="H11" s="392">
        <f>SUM(B11-E11)*100/E11</f>
        <v>14.84772509925727</v>
      </c>
      <c r="I11" s="392">
        <f>SUM(C11-F11)*100/F11</f>
        <v>18.408325659847538</v>
      </c>
      <c r="J11" s="391">
        <v>0</v>
      </c>
      <c r="K11" s="3"/>
    </row>
    <row r="12" spans="1:10" ht="18.75" customHeight="1">
      <c r="A12" s="398" t="s">
        <v>155</v>
      </c>
      <c r="B12" s="3"/>
      <c r="C12" s="3"/>
      <c r="D12" s="3"/>
      <c r="E12" s="3"/>
      <c r="F12" s="3"/>
      <c r="G12" s="38"/>
      <c r="H12" s="3"/>
      <c r="I12" s="3"/>
      <c r="J12" s="3"/>
    </row>
  </sheetData>
  <mergeCells count="6">
    <mergeCell ref="A1:J1"/>
    <mergeCell ref="A3:A4"/>
    <mergeCell ref="B3:D3"/>
    <mergeCell ref="E3:G3"/>
    <mergeCell ref="H3:J3"/>
    <mergeCell ref="H4:J4"/>
  </mergeCells>
  <printOptions horizont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Ministério da Agricultura</dc:creator>
  <cp:keywords/>
  <dc:description/>
  <cp:lastModifiedBy>Usuário do Windows</cp:lastModifiedBy>
  <cp:lastPrinted>2014-09-09T18:48:21Z</cp:lastPrinted>
  <dcterms:created xsi:type="dcterms:W3CDTF">2000-10-30T17:12:15Z</dcterms:created>
  <dcterms:modified xsi:type="dcterms:W3CDTF">2014-09-11T12:54:58Z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